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755" yWindow="-15" windowWidth="10800" windowHeight="10635" tabRatio="836" activeTab="2"/>
  </bookViews>
  <sheets>
    <sheet name="Előlap" sheetId="18" r:id="rId1"/>
    <sheet name="Méret Arany J" sheetId="16" r:id="rId2"/>
    <sheet name="Arany J" sheetId="8" r:id="rId3"/>
    <sheet name="KÖLTSÉGBECSLÉS Arany J" sheetId="20" r:id="rId4"/>
    <sheet name="Fõ Arany J" sheetId="11" r:id="rId5"/>
  </sheets>
  <definedNames>
    <definedName name="_xlnm.Print_Titles" localSheetId="2">'Arany J'!$4:$5</definedName>
    <definedName name="_xlnm.Print_Area" localSheetId="2">'Arany J'!$A$1:$L$345</definedName>
    <definedName name="_xlnm.Print_Area" localSheetId="4">'Fõ Arany J'!$A$1:$F$15</definedName>
    <definedName name="_xlnm.Print_Area" localSheetId="3">'KÖLTSÉGBECSLÉS Arany J'!$A$1:$H$31</definedName>
    <definedName name="_xlnm.Print_Area" localSheetId="1">'Méret Arany J'!$A$1:$H$55</definedName>
  </definedNames>
  <calcPr calcId="145621"/>
</workbook>
</file>

<file path=xl/calcChain.xml><?xml version="1.0" encoding="utf-8"?>
<calcChain xmlns="http://schemas.openxmlformats.org/spreadsheetml/2006/main">
  <c r="I339" i="8" l="1"/>
  <c r="H338" i="8"/>
  <c r="J338" i="8"/>
  <c r="A336" i="8"/>
  <c r="G332" i="8"/>
  <c r="J333" i="8" s="1"/>
  <c r="I334" i="8"/>
  <c r="H333" i="8"/>
  <c r="A331" i="8"/>
  <c r="I329" i="8"/>
  <c r="H328" i="8"/>
  <c r="J328" i="8"/>
  <c r="A326" i="8"/>
  <c r="L339" i="8" l="1"/>
  <c r="L334" i="8"/>
  <c r="L329" i="8"/>
  <c r="I23" i="16"/>
  <c r="C23" i="16"/>
  <c r="H341" i="8" l="1"/>
  <c r="I341" i="8"/>
  <c r="H343" i="8"/>
  <c r="I343" i="8"/>
  <c r="G288" i="8"/>
  <c r="J289" i="8" s="1"/>
  <c r="I290" i="8"/>
  <c r="H289" i="8"/>
  <c r="G283" i="8"/>
  <c r="L285" i="8" s="1"/>
  <c r="I285" i="8"/>
  <c r="H284" i="8"/>
  <c r="G258" i="8"/>
  <c r="G228" i="8"/>
  <c r="G223" i="8"/>
  <c r="G218" i="8"/>
  <c r="G208" i="8"/>
  <c r="G203" i="8"/>
  <c r="G198" i="8"/>
  <c r="G133" i="8"/>
  <c r="G128" i="8"/>
  <c r="L290" i="8" l="1"/>
  <c r="J284" i="8"/>
  <c r="L16" i="8"/>
  <c r="L17" i="8"/>
  <c r="L18" i="8"/>
  <c r="L19" i="8"/>
  <c r="L20" i="8"/>
  <c r="L15" i="8"/>
  <c r="D10" i="20"/>
  <c r="D11" i="20"/>
  <c r="C11" i="20"/>
  <c r="B11" i="20"/>
  <c r="D4" i="20"/>
  <c r="D5" i="20"/>
  <c r="D6" i="20"/>
  <c r="D7" i="20"/>
  <c r="D8" i="20"/>
  <c r="D9" i="20"/>
  <c r="B10" i="20"/>
  <c r="F51" i="16"/>
  <c r="D51" i="16"/>
  <c r="B9" i="20"/>
  <c r="B8" i="20"/>
  <c r="B7" i="20"/>
  <c r="B6" i="20"/>
  <c r="B5" i="20"/>
  <c r="B4" i="20"/>
  <c r="G278" i="8"/>
  <c r="J279" i="8" s="1"/>
  <c r="G45" i="16"/>
  <c r="G263" i="8" s="1"/>
  <c r="L265" i="8" s="1"/>
  <c r="G143" i="8"/>
  <c r="I145" i="8"/>
  <c r="H144" i="8"/>
  <c r="I140" i="8"/>
  <c r="H139" i="8"/>
  <c r="I280" i="8"/>
  <c r="H279" i="8"/>
  <c r="I275" i="8"/>
  <c r="H274" i="8"/>
  <c r="I270" i="8"/>
  <c r="H269" i="8"/>
  <c r="I265" i="8"/>
  <c r="H264" i="8"/>
  <c r="I255" i="8"/>
  <c r="H254" i="8"/>
  <c r="I240" i="8"/>
  <c r="H239" i="8"/>
  <c r="D50" i="16"/>
  <c r="F50" i="16"/>
  <c r="F49" i="16"/>
  <c r="D49" i="16"/>
  <c r="D48" i="16"/>
  <c r="F48" i="16"/>
  <c r="D47" i="16"/>
  <c r="F47" i="16"/>
  <c r="G47" i="16" l="1"/>
  <c r="G238" i="8" s="1"/>
  <c r="L240" i="8" s="1"/>
  <c r="G48" i="16"/>
  <c r="G233" i="8" s="1"/>
  <c r="G51" i="16"/>
  <c r="C9" i="20" s="1"/>
  <c r="G268" i="8"/>
  <c r="J269" i="8" s="1"/>
  <c r="J144" i="8"/>
  <c r="L145" i="8"/>
  <c r="L280" i="8"/>
  <c r="J264" i="8"/>
  <c r="J239" i="8" l="1"/>
  <c r="G253" i="8"/>
  <c r="L270" i="8"/>
  <c r="G273" i="8"/>
  <c r="L275" i="8" s="1"/>
  <c r="J254" i="8" l="1"/>
  <c r="L255" i="8"/>
  <c r="J274" i="8"/>
  <c r="G50" i="16"/>
  <c r="G248" i="8" s="1"/>
  <c r="G49" i="16"/>
  <c r="G243" i="8" s="1"/>
  <c r="I250" i="8"/>
  <c r="H249" i="8"/>
  <c r="I260" i="8"/>
  <c r="H259" i="8"/>
  <c r="I245" i="8"/>
  <c r="H244" i="8"/>
  <c r="I230" i="8"/>
  <c r="H229" i="8"/>
  <c r="H234" i="8"/>
  <c r="I235" i="8"/>
  <c r="I135" i="8"/>
  <c r="H134" i="8"/>
  <c r="L135" i="8"/>
  <c r="I130" i="8"/>
  <c r="H129" i="8"/>
  <c r="I125" i="8"/>
  <c r="H124" i="8"/>
  <c r="E46" i="16"/>
  <c r="C46" i="16"/>
  <c r="I120" i="8"/>
  <c r="H119" i="8"/>
  <c r="J134" i="8" l="1"/>
  <c r="I215" i="8"/>
  <c r="H214" i="8"/>
  <c r="I210" i="8"/>
  <c r="H209" i="8"/>
  <c r="I220" i="8"/>
  <c r="H219" i="8"/>
  <c r="I205" i="8"/>
  <c r="H204" i="8"/>
  <c r="I200" i="8"/>
  <c r="H199" i="8"/>
  <c r="A157" i="8"/>
  <c r="A162" i="8" s="1"/>
  <c r="A167" i="8" s="1"/>
  <c r="A172" i="8" s="1"/>
  <c r="A177" i="8" s="1"/>
  <c r="A182" i="8" s="1"/>
  <c r="A187" i="8" s="1"/>
  <c r="A192" i="8" s="1"/>
  <c r="C22" i="16"/>
  <c r="I115" i="8"/>
  <c r="H114" i="8"/>
  <c r="A107" i="8"/>
  <c r="A112" i="8" s="1"/>
  <c r="A117" i="8" s="1"/>
  <c r="A122" i="8" s="1"/>
  <c r="A127" i="8" s="1"/>
  <c r="A132" i="8" s="1"/>
  <c r="A137" i="8" s="1"/>
  <c r="I110" i="8"/>
  <c r="H109" i="8"/>
  <c r="I70" i="8"/>
  <c r="H69" i="8"/>
  <c r="A197" i="8" l="1"/>
  <c r="A202" i="8" l="1"/>
  <c r="A207" i="8" l="1"/>
  <c r="A212" i="8" s="1"/>
  <c r="A217" i="8" s="1"/>
  <c r="A222" i="8" s="1"/>
  <c r="A227" i="8" s="1"/>
  <c r="A232" i="8" s="1"/>
  <c r="A237" i="8" l="1"/>
  <c r="A242" i="8" s="1"/>
  <c r="A247" i="8" s="1"/>
  <c r="A252" i="8" s="1"/>
  <c r="A257" i="8" s="1"/>
  <c r="A262" i="8" s="1"/>
  <c r="A267" i="8" s="1"/>
  <c r="A272" i="8" s="1"/>
  <c r="A277" i="8" s="1"/>
  <c r="A282" i="8" s="1"/>
  <c r="A287" i="8" s="1"/>
  <c r="I65" i="8"/>
  <c r="H64" i="8"/>
  <c r="L41" i="8"/>
  <c r="I41" i="8"/>
  <c r="J40" i="8"/>
  <c r="H40" i="8"/>
  <c r="L36" i="8"/>
  <c r="I36" i="8"/>
  <c r="J35" i="8"/>
  <c r="H35" i="8"/>
  <c r="L30" i="8"/>
  <c r="I30" i="8"/>
  <c r="J29" i="8"/>
  <c r="H29" i="8"/>
  <c r="L25" i="8"/>
  <c r="J24" i="8"/>
  <c r="L14" i="8"/>
  <c r="I14" i="8"/>
  <c r="L11" i="8"/>
  <c r="J10" i="8"/>
  <c r="A142" i="8" l="1"/>
  <c r="C43" i="16"/>
  <c r="E43" i="16"/>
  <c r="D43" i="16"/>
  <c r="F43" i="16"/>
  <c r="F46" i="16" s="1"/>
  <c r="G46" i="16" s="1"/>
  <c r="D9" i="16"/>
  <c r="D23" i="16" s="1"/>
  <c r="F21" i="16"/>
  <c r="E23" i="16"/>
  <c r="D10" i="16"/>
  <c r="G10" i="16" s="1"/>
  <c r="F10" i="16"/>
  <c r="G12" i="16"/>
  <c r="C8" i="16"/>
  <c r="H10" i="8"/>
  <c r="I11" i="8"/>
  <c r="A13" i="8"/>
  <c r="J43" i="8"/>
  <c r="C4" i="11" s="1"/>
  <c r="H24" i="8"/>
  <c r="I25" i="8"/>
  <c r="L33" i="8"/>
  <c r="L43" i="8" s="1"/>
  <c r="D4" i="11" s="1"/>
  <c r="H43" i="8"/>
  <c r="I43" i="8"/>
  <c r="H49" i="8"/>
  <c r="H98" i="8" s="1"/>
  <c r="I50" i="8"/>
  <c r="I98" i="8" s="1"/>
  <c r="A52" i="8"/>
  <c r="A57" i="8" s="1"/>
  <c r="H54" i="8"/>
  <c r="I55" i="8"/>
  <c r="H59" i="8"/>
  <c r="I60" i="8"/>
  <c r="H74" i="8"/>
  <c r="I75" i="8"/>
  <c r="H80" i="8"/>
  <c r="I81" i="8"/>
  <c r="H85" i="8"/>
  <c r="I86" i="8"/>
  <c r="H90" i="8"/>
  <c r="I91" i="8"/>
  <c r="H95" i="8"/>
  <c r="I96" i="8"/>
  <c r="H154" i="8"/>
  <c r="I155" i="8"/>
  <c r="H104" i="8"/>
  <c r="H148" i="8" s="1"/>
  <c r="I105" i="8"/>
  <c r="I148" i="8" s="1"/>
  <c r="H159" i="8"/>
  <c r="I160" i="8"/>
  <c r="H164" i="8"/>
  <c r="I165" i="8"/>
  <c r="H169" i="8"/>
  <c r="I170" i="8"/>
  <c r="H174" i="8"/>
  <c r="I175" i="8"/>
  <c r="H179" i="8"/>
  <c r="I180" i="8"/>
  <c r="H194" i="8"/>
  <c r="I195" i="8"/>
  <c r="H189" i="8"/>
  <c r="I190" i="8"/>
  <c r="H184" i="8"/>
  <c r="I185" i="8"/>
  <c r="H224" i="8"/>
  <c r="I225" i="8"/>
  <c r="H292" i="8"/>
  <c r="I292" i="8"/>
  <c r="H298" i="8"/>
  <c r="I299" i="8"/>
  <c r="A301" i="8"/>
  <c r="H303" i="8"/>
  <c r="I304" i="8"/>
  <c r="H308" i="8"/>
  <c r="I309" i="8"/>
  <c r="H313" i="8"/>
  <c r="I314" i="8"/>
  <c r="H318" i="8"/>
  <c r="I319" i="8"/>
  <c r="H323" i="8"/>
  <c r="I324" i="8"/>
  <c r="A4" i="20"/>
  <c r="G4" i="20"/>
  <c r="G5" i="20"/>
  <c r="G6" i="20"/>
  <c r="G7" i="20"/>
  <c r="G8" i="20"/>
  <c r="G9" i="20"/>
  <c r="G10" i="20"/>
  <c r="G11" i="20"/>
  <c r="G12" i="20"/>
  <c r="D13" i="20"/>
  <c r="G13" i="20" s="1"/>
  <c r="D14" i="20"/>
  <c r="G14" i="20" s="1"/>
  <c r="D15" i="20"/>
  <c r="G15" i="20" s="1"/>
  <c r="D16" i="20"/>
  <c r="G16" i="20" s="1"/>
  <c r="D17" i="20"/>
  <c r="G17" i="20" s="1"/>
  <c r="D18" i="20"/>
  <c r="G18" i="20" s="1"/>
  <c r="H18" i="20"/>
  <c r="D19" i="20"/>
  <c r="G19" i="20" s="1"/>
  <c r="D20" i="20"/>
  <c r="G20" i="20" s="1"/>
  <c r="H20" i="20"/>
  <c r="D21" i="20"/>
  <c r="G21" i="20" s="1"/>
  <c r="D22" i="20"/>
  <c r="G22" i="20" s="1"/>
  <c r="D23" i="20"/>
  <c r="G23" i="20" s="1"/>
  <c r="D24" i="20"/>
  <c r="G24" i="20" s="1"/>
  <c r="D25" i="20"/>
  <c r="G25" i="20" s="1"/>
  <c r="D26" i="20"/>
  <c r="G26" i="20" s="1"/>
  <c r="D27" i="20"/>
  <c r="G27" i="20" s="1"/>
  <c r="A3" i="16"/>
  <c r="C2" i="8" s="1"/>
  <c r="G8" i="16"/>
  <c r="A5" i="20"/>
  <c r="G9" i="16"/>
  <c r="A6" i="20"/>
  <c r="A7" i="20"/>
  <c r="G11" i="16"/>
  <c r="G13" i="16"/>
  <c r="G14" i="16"/>
  <c r="G15" i="16"/>
  <c r="G16" i="16"/>
  <c r="G18" i="16"/>
  <c r="C4" i="20" s="1"/>
  <c r="G20" i="16"/>
  <c r="C5" i="20" s="1"/>
  <c r="G22" i="16"/>
  <c r="G30" i="16"/>
  <c r="G32" i="16"/>
  <c r="G302" i="8" s="1"/>
  <c r="G33" i="16"/>
  <c r="G307" i="8" s="1"/>
  <c r="L309" i="8" s="1"/>
  <c r="G34" i="16"/>
  <c r="G36" i="16"/>
  <c r="H21" i="20" s="1"/>
  <c r="G38" i="16"/>
  <c r="G39" i="16"/>
  <c r="H23" i="20" s="1"/>
  <c r="G40" i="16"/>
  <c r="H24" i="20" s="1"/>
  <c r="G41" i="16"/>
  <c r="G42" i="16"/>
  <c r="A22" i="8" l="1"/>
  <c r="A27" i="8" s="1"/>
  <c r="A32" i="8" s="1"/>
  <c r="A38" i="8" s="1"/>
  <c r="L210" i="8"/>
  <c r="C7" i="20"/>
  <c r="H7" i="20" s="1"/>
  <c r="H12" i="20"/>
  <c r="G178" i="8"/>
  <c r="G94" i="8"/>
  <c r="J95" i="8" s="1"/>
  <c r="G73" i="8"/>
  <c r="G173" i="8"/>
  <c r="G68" i="8"/>
  <c r="G63" i="8"/>
  <c r="G58" i="8"/>
  <c r="G108" i="8"/>
  <c r="G123" i="8"/>
  <c r="G118" i="8"/>
  <c r="A306" i="8"/>
  <c r="A62" i="8"/>
  <c r="J308" i="8"/>
  <c r="H4" i="20"/>
  <c r="G43" i="16"/>
  <c r="G23" i="16"/>
  <c r="G322" i="8"/>
  <c r="H25" i="20"/>
  <c r="G84" i="8"/>
  <c r="J85" i="8" s="1"/>
  <c r="G48" i="8"/>
  <c r="J49" i="8" s="1"/>
  <c r="J303" i="8"/>
  <c r="L304" i="8"/>
  <c r="H5" i="20"/>
  <c r="G53" i="8"/>
  <c r="G188" i="8"/>
  <c r="H14" i="20"/>
  <c r="H26" i="20"/>
  <c r="H22" i="20"/>
  <c r="G317" i="8"/>
  <c r="H17" i="20"/>
  <c r="G297" i="8"/>
  <c r="H11" i="20"/>
  <c r="H9" i="20"/>
  <c r="G89" i="8"/>
  <c r="G21" i="16"/>
  <c r="C6" i="20" s="1"/>
  <c r="H6" i="20" s="1"/>
  <c r="B2" i="20"/>
  <c r="B2" i="11"/>
  <c r="G312" i="8"/>
  <c r="H19" i="20"/>
  <c r="E4" i="11"/>
  <c r="C8" i="20" l="1"/>
  <c r="H8" i="20" s="1"/>
  <c r="G213" i="8"/>
  <c r="J209" i="8"/>
  <c r="C10" i="20"/>
  <c r="H10" i="20" s="1"/>
  <c r="G138" i="8"/>
  <c r="G158" i="8"/>
  <c r="L160" i="8" s="1"/>
  <c r="G163" i="8"/>
  <c r="L165" i="8" s="1"/>
  <c r="A311" i="8"/>
  <c r="A316" i="8" s="1"/>
  <c r="A321" i="8" s="1"/>
  <c r="G183" i="8"/>
  <c r="L185" i="8" s="1"/>
  <c r="G168" i="8"/>
  <c r="G113" i="8"/>
  <c r="H16" i="20"/>
  <c r="J224" i="8"/>
  <c r="J124" i="8"/>
  <c r="L125" i="8"/>
  <c r="L65" i="8"/>
  <c r="J64" i="8"/>
  <c r="L200" i="8"/>
  <c r="J199" i="8"/>
  <c r="L110" i="8"/>
  <c r="J109" i="8"/>
  <c r="J129" i="8"/>
  <c r="L130" i="8"/>
  <c r="J69" i="8"/>
  <c r="L70" i="8"/>
  <c r="L260" i="8"/>
  <c r="J259" i="8"/>
  <c r="L205" i="8"/>
  <c r="J204" i="8"/>
  <c r="G193" i="8"/>
  <c r="G153" i="8"/>
  <c r="L120" i="8"/>
  <c r="J119" i="8"/>
  <c r="A67" i="8"/>
  <c r="A72" i="8" s="1"/>
  <c r="A77" i="8" s="1"/>
  <c r="A83" i="8" s="1"/>
  <c r="A88" i="8" s="1"/>
  <c r="A93" i="8" s="1"/>
  <c r="H27" i="20"/>
  <c r="H15" i="20"/>
  <c r="L96" i="8"/>
  <c r="J59" i="8"/>
  <c r="L60" i="8"/>
  <c r="L86" i="8"/>
  <c r="J323" i="8"/>
  <c r="L324" i="8"/>
  <c r="L50" i="8"/>
  <c r="L180" i="8"/>
  <c r="J179" i="8"/>
  <c r="L81" i="8"/>
  <c r="J80" i="8"/>
  <c r="H13" i="20"/>
  <c r="L91" i="8"/>
  <c r="J90" i="8"/>
  <c r="L299" i="8"/>
  <c r="J298" i="8"/>
  <c r="L190" i="8"/>
  <c r="J189" i="8"/>
  <c r="L55" i="8"/>
  <c r="J54" i="8"/>
  <c r="J313" i="8"/>
  <c r="L314" i="8"/>
  <c r="J174" i="8"/>
  <c r="L175" i="8"/>
  <c r="L75" i="8"/>
  <c r="J74" i="8"/>
  <c r="L319" i="8"/>
  <c r="J318" i="8"/>
  <c r="A8" i="20"/>
  <c r="G103" i="8"/>
  <c r="J341" i="8" l="1"/>
  <c r="C8" i="11" s="1"/>
  <c r="L341" i="8"/>
  <c r="D8" i="11" s="1"/>
  <c r="J139" i="8"/>
  <c r="L140" i="8"/>
  <c r="J164" i="8"/>
  <c r="J184" i="8"/>
  <c r="L225" i="8"/>
  <c r="L245" i="8"/>
  <c r="J244" i="8"/>
  <c r="L115" i="8"/>
  <c r="J114" i="8"/>
  <c r="J234" i="8"/>
  <c r="L235" i="8"/>
  <c r="J229" i="8"/>
  <c r="L230" i="8"/>
  <c r="J214" i="8"/>
  <c r="L215" i="8"/>
  <c r="J249" i="8"/>
  <c r="L250" i="8"/>
  <c r="J219" i="8"/>
  <c r="L220" i="8"/>
  <c r="J159" i="8"/>
  <c r="H29" i="20"/>
  <c r="L98" i="8"/>
  <c r="D5" i="11" s="1"/>
  <c r="J104" i="8"/>
  <c r="L105" i="8"/>
  <c r="L170" i="8"/>
  <c r="J169" i="8"/>
  <c r="L155" i="8"/>
  <c r="J154" i="8"/>
  <c r="J98" i="8"/>
  <c r="J194" i="8"/>
  <c r="L195" i="8"/>
  <c r="E8" i="11" l="1"/>
  <c r="H31" i="20"/>
  <c r="H30" i="20"/>
  <c r="J292" i="8"/>
  <c r="C7" i="11" s="1"/>
  <c r="L292" i="8"/>
  <c r="D7" i="11" s="1"/>
  <c r="L148" i="8"/>
  <c r="D6" i="11" s="1"/>
  <c r="J148" i="8"/>
  <c r="C6" i="11" s="1"/>
  <c r="C5" i="11"/>
  <c r="J343" i="8" l="1"/>
  <c r="L343" i="8"/>
  <c r="D9" i="11"/>
  <c r="E7" i="11"/>
  <c r="E6" i="11"/>
  <c r="A9" i="20"/>
  <c r="E5" i="11"/>
  <c r="C9" i="11"/>
  <c r="J345" i="8" l="1"/>
  <c r="E9" i="11"/>
  <c r="E10" i="11" s="1"/>
  <c r="A10" i="20"/>
  <c r="E11" i="11" l="1"/>
  <c r="E12" i="11" l="1"/>
  <c r="E13" i="11" s="1"/>
  <c r="A11" i="20"/>
  <c r="A12" i="20" l="1"/>
  <c r="A13" i="20" l="1"/>
  <c r="A14" i="20" l="1"/>
  <c r="A15" i="20" l="1"/>
  <c r="A16" i="20" l="1"/>
  <c r="A17" i="20" l="1"/>
  <c r="A18" i="20" l="1"/>
  <c r="A19" i="20" l="1"/>
  <c r="A20" i="20" l="1"/>
  <c r="A21" i="20" l="1"/>
  <c r="A22" i="20" l="1"/>
  <c r="A23" i="20" l="1"/>
  <c r="A24" i="20" l="1"/>
  <c r="A25" i="20" l="1"/>
  <c r="A26" i="20" l="1"/>
  <c r="A27" i="20" l="1"/>
</calcChain>
</file>

<file path=xl/comments1.xml><?xml version="1.0" encoding="utf-8"?>
<comments xmlns="http://schemas.openxmlformats.org/spreadsheetml/2006/main">
  <authors>
    <author>Peter</author>
  </authors>
  <commentList>
    <comment ref="C11" authorId="0">
      <text>
        <r>
          <rPr>
            <b/>
            <sz val="9"/>
            <color indexed="81"/>
            <rFont val="Tahoma"/>
            <charset val="1"/>
          </rPr>
          <t>Peter: Már felbontották, de maradhat ennyi.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Közlekedésfejlesztés Kft.</author>
  </authors>
  <commentList>
    <comment ref="E13" authorId="0">
      <text>
        <r>
          <rPr>
            <b/>
            <sz val="10"/>
            <color indexed="81"/>
            <rFont val="Times New Roman CE"/>
            <family val="1"/>
            <charset val="238"/>
          </rPr>
          <t>Közvetlenül a díjoszlopba írjon!</t>
        </r>
        <r>
          <rPr>
            <sz val="8"/>
            <color indexed="81"/>
            <rFont val="Tahoma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<sst xmlns="http://schemas.openxmlformats.org/spreadsheetml/2006/main" count="480" uniqueCount="220">
  <si>
    <t>Költségvetési kiírás</t>
  </si>
  <si>
    <t>Építmény:</t>
  </si>
  <si>
    <t>tételszám</t>
  </si>
  <si>
    <t>k.v. szöveg</t>
  </si>
  <si>
    <t>Egys.</t>
  </si>
  <si>
    <t>Menny.</t>
  </si>
  <si>
    <t>A</t>
  </si>
  <si>
    <t>D</t>
  </si>
  <si>
    <t>Anyag ktg.</t>
  </si>
  <si>
    <t>I. Építéselőkészítő munkák (ideiglenes melléklétesítmények)</t>
  </si>
  <si>
    <t>Ft.</t>
  </si>
  <si>
    <t>a:</t>
  </si>
  <si>
    <t>d:</t>
  </si>
  <si>
    <t>db</t>
  </si>
  <si>
    <t>II. Bontási munkák</t>
  </si>
  <si>
    <t>m</t>
  </si>
  <si>
    <t>m3</t>
  </si>
  <si>
    <t>m2</t>
  </si>
  <si>
    <t>Összesen:</t>
  </si>
  <si>
    <t>IV. Burkolatépítési munkák</t>
  </si>
  <si>
    <t>V. Befejező munkák</t>
  </si>
  <si>
    <t>Tételcsoportok:</t>
  </si>
  <si>
    <t>Nyersköltség összesen:</t>
  </si>
  <si>
    <t>Beruházási összköltség:</t>
  </si>
  <si>
    <t>Bruttó beruházási összköltség:</t>
  </si>
  <si>
    <t>Sorszám</t>
  </si>
  <si>
    <t>mérték egység</t>
  </si>
  <si>
    <t>III. Alépítményi munkák</t>
  </si>
  <si>
    <t>Munkadíj</t>
  </si>
  <si>
    <t>idom leírása</t>
  </si>
  <si>
    <t>I. Építéselőkészítő munkák 
(ideiglenes melléklétesítmények)</t>
  </si>
  <si>
    <t>Méret- és mennyiségkimutatás</t>
  </si>
  <si>
    <t>Anyag               (Ft)</t>
  </si>
  <si>
    <t>Díj                (Ft)</t>
  </si>
  <si>
    <t>Költség                           (Ft)</t>
  </si>
  <si>
    <t>Ssz.</t>
  </si>
  <si>
    <t>Útépítés</t>
  </si>
  <si>
    <t>Közlekedésfejlesztés</t>
  </si>
  <si>
    <t>Mérnöki Iroda Kft.</t>
  </si>
  <si>
    <t>Költségvetési főösszesítő</t>
  </si>
  <si>
    <t>Tartalékkeret …. %</t>
  </si>
  <si>
    <t>(beruházó, tervező, kivitelező, határidő)</t>
  </si>
  <si>
    <t>Összesen</t>
  </si>
  <si>
    <t>U-8</t>
  </si>
  <si>
    <t>E.ON DDGÁZ Zrt.</t>
  </si>
  <si>
    <t>FEJÉRVÍZ Zrt.</t>
  </si>
  <si>
    <t>T-Com Zrt.</t>
  </si>
  <si>
    <t>KÖLTSÉGBECSLÉS</t>
  </si>
  <si>
    <t>hosszak, területek, térfogatok, dbszám</t>
  </si>
  <si>
    <t>EGYSÉGÁR</t>
  </si>
  <si>
    <t>ÖSSZEG (Ft)</t>
  </si>
  <si>
    <t>Összesen ÁFA nélkül:</t>
  </si>
  <si>
    <t>Ft/</t>
  </si>
  <si>
    <t>KRESZ tábla bontása</t>
  </si>
  <si>
    <t>Arany János utca</t>
  </si>
  <si>
    <t>Összköltsége:</t>
  </si>
  <si>
    <t>Székesfehérvár
Arany János utca és a kapcsolódó terei burkolatfelújítása
Kiviteli tervéhez</t>
  </si>
  <si>
    <t>résfolyóka fektetés</t>
  </si>
  <si>
    <t>terjeszkedési hézag építése épülethez, falhoz</t>
  </si>
  <si>
    <t>terjeszkedési hézag építése burkolat csatlakozáshoz</t>
  </si>
  <si>
    <t>fm</t>
  </si>
  <si>
    <t>ó</t>
  </si>
  <si>
    <t>E.ON ÉDÁH Zrt.</t>
  </si>
  <si>
    <t>DIGI Kft.</t>
  </si>
  <si>
    <t>Városgondnokság</t>
  </si>
  <si>
    <t>terv</t>
  </si>
  <si>
    <t>proj.</t>
  </si>
  <si>
    <t>proj</t>
  </si>
  <si>
    <t>1. tétel * ,5</t>
  </si>
  <si>
    <t>2. tétel</t>
  </si>
  <si>
    <t xml:space="preserve">3. tétel * 0,14  (komplex: alap és kőtömb, ideiglenes tárolás) </t>
  </si>
  <si>
    <t>3-as tétel *0,2*0,63</t>
  </si>
  <si>
    <t xml:space="preserve">3-as tétel * 0,14 * 63% </t>
  </si>
  <si>
    <t>5-ös tétel</t>
  </si>
  <si>
    <t>6. tétel</t>
  </si>
  <si>
    <t xml:space="preserve">7. tétel </t>
  </si>
  <si>
    <t>8. tétel</t>
  </si>
  <si>
    <t>9. tétel</t>
  </si>
  <si>
    <t>A 11-12-13-14-15-16 tétel összege</t>
  </si>
  <si>
    <t xml:space="preserve">3-as tétel </t>
  </si>
  <si>
    <t>A 11;12;13;14;15;16 tétel összege*0,30</t>
  </si>
  <si>
    <t>14-es tétel</t>
  </si>
  <si>
    <t>Ckt -4 alapréteg terítése</t>
  </si>
  <si>
    <t>A 11;12;13;15;16 tétel összege*0,15</t>
  </si>
  <si>
    <t>A 11;12;13;15;16 tétel összege*0,045</t>
  </si>
  <si>
    <t>14-es tétel * 0,03</t>
  </si>
  <si>
    <t>11. tétel</t>
  </si>
  <si>
    <t>13- tétel</t>
  </si>
  <si>
    <t xml:space="preserve">15. tétel </t>
  </si>
  <si>
    <t xml:space="preserve">16. tétel </t>
  </si>
  <si>
    <t xml:space="preserve">14. tétel </t>
  </si>
  <si>
    <t xml:space="preserve">HDPE vízzáró fólia fektetése / a szivárgók alatt 1 m szélességben </t>
  </si>
  <si>
    <t>szirvágó építése</t>
  </si>
  <si>
    <t>39-es tétel</t>
  </si>
  <si>
    <t>szivárgó draincső fektetése 100 mm-es átmérővel</t>
  </si>
  <si>
    <t>39-es tétel*0,08</t>
  </si>
  <si>
    <t xml:space="preserve">40. tétel </t>
  </si>
  <si>
    <t xml:space="preserve">41. tétel </t>
  </si>
  <si>
    <t>42. tétel /(0,31*0,14) * (0,31+0,14)</t>
  </si>
  <si>
    <t xml:space="preserve">43. tétel </t>
  </si>
  <si>
    <t>44. tétel * 0,31</t>
  </si>
  <si>
    <t>44. tétel *0,35*0,3</t>
  </si>
  <si>
    <t>44. tétel *0,14</t>
  </si>
  <si>
    <t>38. tétel</t>
  </si>
  <si>
    <t>38. tétel+37. tétel</t>
  </si>
  <si>
    <t>(38. tétel+37. tétel) * 0,04*0,02</t>
  </si>
  <si>
    <t>37. tétel *0,6</t>
  </si>
  <si>
    <t xml:space="preserve"> (T-Com)</t>
  </si>
  <si>
    <t>E-on DDGÁZ</t>
  </si>
  <si>
    <t>ÁFA</t>
  </si>
  <si>
    <t>kiemelt szegély bontása (beton)</t>
  </si>
  <si>
    <t>döntött szegély bontása</t>
  </si>
  <si>
    <t>poller telepítése</t>
  </si>
  <si>
    <t>rácsos víznyelő fedlapok cseréje</t>
  </si>
  <si>
    <t>távközlési akna szintre emelése (T-Com)</t>
  </si>
  <si>
    <t>gázakna szintre emelése</t>
  </si>
  <si>
    <t>vízakna szintre emelése</t>
  </si>
  <si>
    <t>szennyvízakna szintre emelése</t>
  </si>
  <si>
    <t>csapadékcsatorna tisztítóakna fedlapok cseréje</t>
  </si>
  <si>
    <t>aljzatbeton készítése lépcső alá</t>
  </si>
  <si>
    <t>beton sávalap készítése lépcső alá</t>
  </si>
  <si>
    <t>mészkő lépcsőtömb restaurálása</t>
  </si>
  <si>
    <t>mészkő lécsőtömbe beszerzése</t>
  </si>
  <si>
    <t>nagy kockakő burkolat bontása /már megtörtént</t>
  </si>
  <si>
    <t>nagy kockakő burkolat bontása (járda)</t>
  </si>
  <si>
    <t>mészkő burkolat bontása</t>
  </si>
  <si>
    <t>kiemelt szegély bontása (bazalt)</t>
  </si>
  <si>
    <t>mészkő lécső felújítása</t>
  </si>
  <si>
    <t>ÁFA (27%):</t>
  </si>
  <si>
    <t>kiskockakő burkolat fektetés bontott kőből</t>
  </si>
  <si>
    <t>nagykockakő burkolat fektetése bontott kőből</t>
  </si>
  <si>
    <t>egyebek</t>
  </si>
  <si>
    <t>idom leírása: A méretszámítás sárga tételei.</t>
  </si>
  <si>
    <t xml:space="preserve">8000 Székesfehérvár, Babér u. 1. </t>
  </si>
  <si>
    <t>Székesfehérvár, 2017. június</t>
  </si>
  <si>
    <t>Anna kápolna előtti pódium</t>
  </si>
  <si>
    <t>emlék-kereszt tere</t>
  </si>
  <si>
    <t>Géza nagyfejede-lem tere</t>
  </si>
  <si>
    <t>lépcső bontása</t>
  </si>
  <si>
    <t>Megj.: A sárga (ff. nyomtatásban szürke)cellák a költségbecslésben szereplő főbb tételek.  
Az üresen hagyott sorok a 2009-es tervben szerepeltek, de jelen fejlesztésben nem. Törlésűk a hivatkozási sorszámok átgördülése miatt nem javasolt, de más mennyiségek felvitelése felhasználható.</t>
  </si>
  <si>
    <t>mészkő lap burkolat fektetése</t>
  </si>
  <si>
    <t>idomított terméskő burkolat rakása</t>
  </si>
  <si>
    <t>lángolt bazaltlap fektetése</t>
  </si>
  <si>
    <t>KRESZ tábla</t>
  </si>
  <si>
    <t>KRESZ tábla (kiegészítő)</t>
  </si>
  <si>
    <t>KRESZ tábla tartó oszlop - 4,5 m</t>
  </si>
  <si>
    <t>39-es tétel*1</t>
  </si>
  <si>
    <t>39-es tétel*0,05</t>
  </si>
  <si>
    <t xml:space="preserve">szivárgó test építése 11/22 kulé kavicsból </t>
  </si>
  <si>
    <t xml:space="preserve">szivárgó test építése 32/56 kulé kavicsból </t>
  </si>
  <si>
    <t>36. tétel -mínusz-az  alábbi tétel</t>
  </si>
  <si>
    <t>a helyszínrajz szerint (Géza nf. szobor mögött, és a Kálmáncsai szobor mellett</t>
  </si>
  <si>
    <t>megvalósulási terv készítése</t>
  </si>
  <si>
    <t>szakfelügyelet biztosítása</t>
  </si>
  <si>
    <t>ideiglenes melléképítmények</t>
  </si>
  <si>
    <t>ideiglenes felvonulás</t>
  </si>
  <si>
    <t>létesítmény megvalósítását jelző tábla</t>
  </si>
  <si>
    <t>közúton folyó munkák elkorlátozása, forgalomterelés</t>
  </si>
  <si>
    <t>aszfaltburkolat bontása</t>
  </si>
  <si>
    <t>aszfalt útburkolat bontása /Petőfi utcai torkolat</t>
  </si>
  <si>
    <t>lépcső selejt kőtömbök elszálíltása</t>
  </si>
  <si>
    <t>lépcső alaptest bontása, elszállítása</t>
  </si>
  <si>
    <t>nagykockakő burkolat bontása</t>
  </si>
  <si>
    <r>
      <t xml:space="preserve">kiemelt szegély bontása  </t>
    </r>
    <r>
      <rPr>
        <sz val="10"/>
        <color theme="1"/>
        <rFont val="Times New Roman"/>
        <family val="1"/>
        <charset val="238"/>
      </rPr>
      <t>(bazalt)</t>
    </r>
  </si>
  <si>
    <r>
      <t xml:space="preserve">kiemelt szegély bontása </t>
    </r>
    <r>
      <rPr>
        <sz val="10"/>
        <color theme="1"/>
        <rFont val="Times New Roman"/>
        <family val="1"/>
        <charset val="238"/>
      </rPr>
      <t>(beton)</t>
    </r>
  </si>
  <si>
    <t>jelzőtáblák bontása</t>
  </si>
  <si>
    <t>tükör készítése kőburkolat számára</t>
  </si>
  <si>
    <t>tükör készítése lépcső számára</t>
  </si>
  <si>
    <t>geotextilia fektetése 200 g/m2</t>
  </si>
  <si>
    <t>résfolyóka fektetése D300 as, ágyazatszivárgó kerettel belső esés nélkül</t>
  </si>
  <si>
    <t>résfolyóka fektetése D300 as, ágyazatszivárgó kerettel, belső eséssel</t>
  </si>
  <si>
    <t>zúzottkő ágyazat terítése (FZKA - 0/50)</t>
  </si>
  <si>
    <r>
      <t xml:space="preserve">ragasztóhabarcs terítése </t>
    </r>
    <r>
      <rPr>
        <sz val="10"/>
        <color theme="1"/>
        <rFont val="Times New Roman"/>
        <family val="1"/>
        <charset val="238"/>
      </rPr>
      <t>/ trasszcementes, vagy műgyantás: 4 cm vastagságban a fugába 1/3-adig felkúszva</t>
    </r>
  </si>
  <si>
    <r>
      <t xml:space="preserve">fektető réteg terítése mészkő lap alá mészkő zúzalékból </t>
    </r>
    <r>
      <rPr>
        <sz val="12"/>
        <color theme="1"/>
        <rFont val="Times New Roman"/>
        <family val="1"/>
        <charset val="238"/>
      </rPr>
      <t>3 cm vtg.-ban</t>
    </r>
  </si>
  <si>
    <r>
      <t xml:space="preserve">nagykockakő burkolat készítése meglévő, bontott kövekből </t>
    </r>
    <r>
      <rPr>
        <sz val="12"/>
        <color theme="1"/>
        <rFont val="Times New Roman"/>
        <family val="1"/>
        <charset val="238"/>
      </rPr>
      <t>18 cm vtg.</t>
    </r>
  </si>
  <si>
    <t>terméskő burkolat készítése idomított mészkő burkoló elemekből</t>
  </si>
  <si>
    <r>
      <t>lángolt bazalt lap fektetése</t>
    </r>
    <r>
      <rPr>
        <sz val="12"/>
        <color theme="1"/>
        <rFont val="Times New Roman"/>
        <family val="1"/>
        <charset val="238"/>
      </rPr>
      <t xml:space="preserve"> 6 cm vtg.</t>
    </r>
  </si>
  <si>
    <r>
      <t xml:space="preserve">kiskockakő burkolat fektetése </t>
    </r>
    <r>
      <rPr>
        <sz val="12"/>
        <color theme="1"/>
        <rFont val="Times New Roman"/>
        <family val="1"/>
        <charset val="238"/>
      </rPr>
      <t xml:space="preserve">9 cm vtg. </t>
    </r>
  </si>
  <si>
    <r>
      <t xml:space="preserve">mészkő burkolólap burkolat készítése </t>
    </r>
    <r>
      <rPr>
        <sz val="12"/>
        <color theme="1"/>
        <rFont val="Times New Roman"/>
        <family val="1"/>
        <charset val="238"/>
      </rPr>
      <t>5 cm dunakalászi kőlapokbó</t>
    </r>
    <r>
      <rPr>
        <b/>
        <sz val="10"/>
        <color theme="1"/>
        <rFont val="Times New Roman"/>
        <family val="1"/>
      </rPr>
      <t>l</t>
    </r>
  </si>
  <si>
    <t>(11. tétel / (0,2*0,2))*(0,19+0,19)*0,015*0,12</t>
  </si>
  <si>
    <r>
      <t>trasszcementes, v. műgyantás fugázás nagykocka kő burkolatban</t>
    </r>
    <r>
      <rPr>
        <b/>
        <sz val="9"/>
        <color theme="1"/>
        <rFont val="Times New Roman"/>
        <family val="1"/>
        <charset val="238"/>
      </rPr>
      <t xml:space="preserve"> </t>
    </r>
    <r>
      <rPr>
        <sz val="9"/>
        <color theme="1"/>
        <rFont val="Times New Roman"/>
        <family val="1"/>
        <charset val="238"/>
      </rPr>
      <t>1,5 cm vtg.-ben 2/3-mélyre kitöltve</t>
    </r>
  </si>
  <si>
    <r>
      <t xml:space="preserve">trasszcementes, v. műgyantás fugázás kiskocka kő burkolatban </t>
    </r>
    <r>
      <rPr>
        <sz val="8"/>
        <color theme="1"/>
        <rFont val="Times New Roman"/>
        <family val="1"/>
        <charset val="238"/>
      </rPr>
      <t>1,5 cm vtg. 2/3-ad mélyre kitöltve</t>
    </r>
  </si>
  <si>
    <t>(13. tétel / ( 0,09*0,09)*(0,09+0,09)*0,015*0,06</t>
  </si>
  <si>
    <r>
      <t xml:space="preserve">trasszcementes, v. műgyantás fugázás idomított terméskő burkolatban </t>
    </r>
    <r>
      <rPr>
        <sz val="8"/>
        <color theme="1"/>
        <rFont val="Times New Roman"/>
        <family val="1"/>
        <charset val="238"/>
      </rPr>
      <t>3 cm vtg. 20 cm mélységben</t>
    </r>
  </si>
  <si>
    <t>15. tétel / (0,15*0,30)*(0,15+0,30)*0,03*0,2</t>
  </si>
  <si>
    <r>
      <t>trasszcementes, v. műgyantás fugázás</t>
    </r>
    <r>
      <rPr>
        <sz val="10"/>
        <color theme="1"/>
        <rFont val="Times New Roman"/>
        <family val="1"/>
        <charset val="238"/>
      </rPr>
      <t xml:space="preserve"> 20*20-as lángolt bazalt kőlap burkolaton, 3 mm vastagságban, 2/3-ad mélységben</t>
    </r>
  </si>
  <si>
    <t>16. tétel /(0,2*0,2)*(0,2+0,2)*0,003*0,04</t>
  </si>
  <si>
    <t>14. tétel / (0,15*0,30)*(0,15+,30)*0,005*0,05</t>
  </si>
  <si>
    <r>
      <t xml:space="preserve">SIKA Grout 311 vízzáró fugázás mészkőlap burkolaton </t>
    </r>
    <r>
      <rPr>
        <sz val="8"/>
        <color theme="1"/>
        <rFont val="Times New Roman"/>
        <family val="1"/>
        <charset val="238"/>
      </rPr>
      <t>5 mm vastagságban, 5 cm mélységben</t>
    </r>
  </si>
  <si>
    <t>zúzottkő (FZKA 0/50) réteg fektetése lécsőszerkezet alá 30 cm vastagságban</t>
  </si>
  <si>
    <t>lépcső zsaluzat készítése a betonaljzat függőleges felületeinek megtámasztására</t>
  </si>
  <si>
    <t>beton sávalap építése lécső alá C 8/10 min betonból</t>
  </si>
  <si>
    <t>betonaljzat fektetése a lécsőszerkezet alá 15 cm vastagságban  C12/15 minőségben</t>
  </si>
  <si>
    <t xml:space="preserve">mészkő lépcsőtömb restaurálás szintű feljavítása </t>
  </si>
  <si>
    <t>lépcső kőtömb beszerzése, tárolása, előkészítése süttői mészkőből</t>
  </si>
  <si>
    <t>lépcsőfokok felszínének stokkolása</t>
  </si>
  <si>
    <r>
      <t>mészkő lépcsőtömb betonaljzatra ragasztása fagyálló, vízálló gyorskötésű ragasztóval</t>
    </r>
    <r>
      <rPr>
        <sz val="10"/>
        <color theme="1"/>
        <rFont val="Times New Roman"/>
        <family val="1"/>
        <charset val="238"/>
      </rPr>
      <t xml:space="preserve"> 3 cm vtg-ban</t>
    </r>
  </si>
  <si>
    <t>44. tétel *(0,35+0,14)*0,03</t>
  </si>
  <si>
    <t xml:space="preserve">burkolat alap befűrészelése terjeszkeési hézag helyén </t>
  </si>
  <si>
    <t>terjeszkeési hézag kiképzése burkolatok közé homokszórással, polisztirol betéttel, gumi tömítő kötéllel</t>
  </si>
  <si>
    <r>
      <t xml:space="preserve">terjeszkeési hézag kiképzése ICOSIT tömítő pasztával, </t>
    </r>
    <r>
      <rPr>
        <sz val="10"/>
        <color theme="1"/>
        <rFont val="Times New Roman"/>
        <family val="1"/>
        <charset val="238"/>
      </rPr>
      <t>2 cm vtg-ban, 4 cm mélyen</t>
    </r>
  </si>
  <si>
    <t>vízzáró műanyag (Dörken) lemez elhelyezése terjeszkedési hézagokhoz, épületek, falak védelmére</t>
  </si>
  <si>
    <t>1. tétel * 0,20</t>
  </si>
  <si>
    <t xml:space="preserve">bontott  aszfalt  elszállítása, s lerakása lerakóhelyi díjal </t>
  </si>
  <si>
    <t xml:space="preserve">bontott  nem veszélyes építési anyagok  elszállítása, s lerakása lerakóhelyi díjal </t>
  </si>
  <si>
    <t>2;3;4 tétel *0,3 + 6;7;8 tétel * 0,3*0,5</t>
  </si>
  <si>
    <t>23. tétel</t>
  </si>
  <si>
    <t>"Zsákutca"; "Behajtani tilos!" táblák</t>
  </si>
  <si>
    <t xml:space="preserve">"Behajtási korlátozás" Kivéve engedéllyel" </t>
  </si>
  <si>
    <r>
      <t xml:space="preserve">poller építés mészkő bábukból, betonba rakva </t>
    </r>
    <r>
      <rPr>
        <sz val="9"/>
        <color theme="1"/>
        <rFont val="Times New Roman"/>
        <family val="1"/>
        <charset val="238"/>
      </rPr>
      <t xml:space="preserve">
1,6 m magas, 50cm átmérőjű legömbölyített tetejű süttői mészkő oszlop, 60 cm mélyen, C12/15 FN betonba ágyazva </t>
    </r>
  </si>
  <si>
    <t xml:space="preserve">közúti jelzőtáblák elhelyezése </t>
  </si>
  <si>
    <t>közúti kiegészítő jelzőtábla elhelyezése</t>
  </si>
  <si>
    <t>aknafedlapok szintbehelyezése</t>
  </si>
  <si>
    <t>anyag és munkadíj külön</t>
  </si>
  <si>
    <r>
      <rPr>
        <b/>
        <sz val="10"/>
        <color rgb="FFFF0000"/>
        <rFont val="Times New Roman"/>
        <family val="1"/>
        <charset val="238"/>
      </rPr>
      <t>A táblázat zárolva van. Csak a zöld cellákba lehet adatot írni. A védelem feloldási kódja a Városházán megtudható</t>
    </r>
    <r>
      <rPr>
        <sz val="10"/>
        <rFont val="Times New Roman"/>
        <family val="1"/>
      </rPr>
      <t xml:space="preserve">
A mennyiségek (szürke cellák) a méret és mennyiségszámítás táblázatából, a hivatkolzott sorszám szerint szereplő értékek. </t>
    </r>
  </si>
  <si>
    <t>munkagödör készítése kábel behúzócső számára</t>
  </si>
  <si>
    <t xml:space="preserve">Arany János u. teljes hoszában </t>
  </si>
  <si>
    <t xml:space="preserve">Arany J. u. teljes hossza x 2 </t>
  </si>
  <si>
    <t xml:space="preserve">kábel behúzócső fektetése közvilágítási vezeték számára 2x 110 mm </t>
  </si>
  <si>
    <t>kábel fúzőakna telepítése közvilágítási vezeték számára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</si>
</sst>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F_t_-;\-* #,##0.00\ _F_t_-;_-* &quot;-&quot;??\ _F_t_-;_-@_-"/>
    <numFmt numFmtId="164" formatCode="0.\)"/>
    <numFmt numFmtId="165" formatCode="0.0"/>
    <numFmt numFmtId="166" formatCode="#,##0.\-"/>
    <numFmt numFmtId="167" formatCode="#,##0\ &quot;Ft&quot;"/>
    <numFmt numFmtId="168" formatCode="#,##0.0"/>
    <numFmt numFmtId="169" formatCode="_-* #,##0\ _F_t_-;\-* #,##0\ _F_t_-;_-* &quot;-&quot;??\ _F_t_-;_-@_-"/>
    <numFmt numFmtId="170" formatCode="_-* #,##0.0000\ _F_t_-;\-* #,##0.0000\ _F_t_-;_-* &quot;-&quot;??\ _F_t_-;_-@_-"/>
    <numFmt numFmtId="171" formatCode="0.0000%"/>
    <numFmt numFmtId="172" formatCode="#,##0.0000"/>
  </numFmts>
  <fonts count="79">
    <font>
      <sz val="10"/>
      <name val="Arial CE"/>
      <charset val="238"/>
    </font>
    <font>
      <sz val="10"/>
      <name val="Arial CE"/>
      <charset val="238"/>
    </font>
    <font>
      <sz val="10"/>
      <name val="M_Times New Roman"/>
      <charset val="238"/>
    </font>
    <font>
      <u/>
      <sz val="10"/>
      <color indexed="12"/>
      <name val="M_Times New Roman"/>
      <charset val="238"/>
    </font>
    <font>
      <u/>
      <sz val="10"/>
      <color indexed="36"/>
      <name val="M_Times New Roman"/>
      <charset val="238"/>
    </font>
    <font>
      <sz val="10"/>
      <name val="MS Sans Serif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u/>
      <sz val="12"/>
      <name val="Times New Roman"/>
      <family val="1"/>
    </font>
    <font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 CE"/>
      <family val="1"/>
      <charset val="238"/>
    </font>
    <font>
      <sz val="10"/>
      <name val="Times New Roman CE"/>
      <family val="1"/>
      <charset val="238"/>
    </font>
    <font>
      <b/>
      <sz val="14"/>
      <name val="Times New Roman CE"/>
      <family val="1"/>
      <charset val="238"/>
    </font>
    <font>
      <b/>
      <sz val="16"/>
      <name val="Times New Roman CE"/>
      <family val="1"/>
      <charset val="238"/>
    </font>
    <font>
      <sz val="12"/>
      <name val="Times New Roman CE"/>
      <family val="1"/>
      <charset val="238"/>
    </font>
    <font>
      <b/>
      <sz val="11"/>
      <name val="Times New Roman"/>
      <family val="1"/>
    </font>
    <font>
      <b/>
      <sz val="6"/>
      <name val="Times New Roman"/>
      <family val="1"/>
    </font>
    <font>
      <b/>
      <u/>
      <sz val="10"/>
      <name val="Times New Roman"/>
      <family val="1"/>
    </font>
    <font>
      <b/>
      <sz val="18"/>
      <name val="Times New Roman"/>
      <family val="1"/>
    </font>
    <font>
      <sz val="11"/>
      <name val="Times New Roman CE"/>
      <family val="1"/>
      <charset val="238"/>
    </font>
    <font>
      <sz val="8"/>
      <color indexed="81"/>
      <name val="Tahoma"/>
      <charset val="238"/>
    </font>
    <font>
      <b/>
      <sz val="10"/>
      <color indexed="81"/>
      <name val="Times New Roman CE"/>
      <family val="1"/>
      <charset val="238"/>
    </font>
    <font>
      <b/>
      <sz val="12"/>
      <name val="Times New Roman"/>
      <family val="1"/>
    </font>
    <font>
      <sz val="18"/>
      <name val="Times New Roman"/>
      <family val="1"/>
    </font>
    <font>
      <b/>
      <sz val="15"/>
      <name val="Times New Roman"/>
      <family val="1"/>
    </font>
    <font>
      <b/>
      <sz val="40"/>
      <name val="Times New Roman"/>
      <family val="1"/>
    </font>
    <font>
      <sz val="60"/>
      <name val="Times New Roman"/>
      <family val="1"/>
    </font>
    <font>
      <b/>
      <sz val="48"/>
      <name val="Times New Roman"/>
      <family val="1"/>
    </font>
    <font>
      <sz val="185"/>
      <name val="Times New Roman"/>
      <family val="1"/>
    </font>
    <font>
      <b/>
      <sz val="10"/>
      <color indexed="18"/>
      <name val="Times New Roman"/>
      <family val="1"/>
    </font>
    <font>
      <sz val="7"/>
      <color indexed="18"/>
      <name val="Times New Roman"/>
      <family val="1"/>
    </font>
    <font>
      <b/>
      <sz val="1"/>
      <name val="Times New Roman"/>
      <family val="1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u/>
      <sz val="14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color theme="1"/>
      <name val="Times New Roman"/>
      <family val="1"/>
      <charset val="238"/>
    </font>
    <font>
      <sz val="18"/>
      <color theme="1"/>
      <name val="Times New Roman"/>
      <family val="1"/>
      <charset val="238"/>
    </font>
    <font>
      <b/>
      <sz val="15"/>
      <color theme="1"/>
      <name val="Times New Roman"/>
      <family val="1"/>
      <charset val="238"/>
    </font>
    <font>
      <sz val="14"/>
      <color theme="1"/>
      <name val="Times New Roman CE"/>
      <family val="1"/>
      <charset val="238"/>
    </font>
    <font>
      <b/>
      <sz val="14"/>
      <color theme="1"/>
      <name val="Times New Roman CE"/>
      <family val="1"/>
      <charset val="238"/>
    </font>
    <font>
      <sz val="12"/>
      <color theme="1"/>
      <name val="Times New Roman CE"/>
      <family val="1"/>
      <charset val="238"/>
    </font>
    <font>
      <b/>
      <sz val="12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 CE"/>
      <family val="1"/>
      <charset val="238"/>
    </font>
    <font>
      <b/>
      <sz val="11"/>
      <color theme="1"/>
      <name val="Times New Roman CE"/>
      <family val="1"/>
      <charset val="238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0"/>
      <color rgb="FFFF0000"/>
      <name val="Times New Roman"/>
      <family val="1"/>
      <charset val="238"/>
    </font>
    <font>
      <i/>
      <sz val="1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2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13"/>
        <bgColor indexed="64"/>
      </patternFill>
    </fill>
    <fill>
      <patternFill patternType="gray0625"/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0">
    <xf numFmtId="0" fontId="0" fillId="0" borderId="0"/>
    <xf numFmtId="0" fontId="36" fillId="2" borderId="0" applyNumberFormat="0" applyBorder="0" applyAlignment="0" applyProtection="0"/>
    <xf numFmtId="0" fontId="36" fillId="3" borderId="0" applyNumberFormat="0" applyBorder="0" applyAlignment="0" applyProtection="0"/>
    <xf numFmtId="0" fontId="36" fillId="4" borderId="0" applyNumberFormat="0" applyBorder="0" applyAlignment="0" applyProtection="0"/>
    <xf numFmtId="0" fontId="36" fillId="2" borderId="0" applyNumberFormat="0" applyBorder="0" applyAlignment="0" applyProtection="0"/>
    <xf numFmtId="0" fontId="36" fillId="5" borderId="0" applyNumberFormat="0" applyBorder="0" applyAlignment="0" applyProtection="0"/>
    <xf numFmtId="0" fontId="36" fillId="4" borderId="0" applyNumberFormat="0" applyBorder="0" applyAlignment="0" applyProtection="0"/>
    <xf numFmtId="0" fontId="36" fillId="6" borderId="0" applyNumberFormat="0" applyBorder="0" applyAlignment="0" applyProtection="0"/>
    <xf numFmtId="0" fontId="36" fillId="3" borderId="0" applyNumberFormat="0" applyBorder="0" applyAlignment="0" applyProtection="0"/>
    <xf numFmtId="0" fontId="36" fillId="7" borderId="0" applyNumberFormat="0" applyBorder="0" applyAlignment="0" applyProtection="0"/>
    <xf numFmtId="0" fontId="36" fillId="6" borderId="0" applyNumberFormat="0" applyBorder="0" applyAlignment="0" applyProtection="0"/>
    <xf numFmtId="0" fontId="36" fillId="8" borderId="0" applyNumberFormat="0" applyBorder="0" applyAlignment="0" applyProtection="0"/>
    <xf numFmtId="0" fontId="36" fillId="7" borderId="0" applyNumberFormat="0" applyBorder="0" applyAlignment="0" applyProtection="0"/>
    <xf numFmtId="0" fontId="37" fillId="9" borderId="0" applyNumberFormat="0" applyBorder="0" applyAlignment="0" applyProtection="0"/>
    <xf numFmtId="0" fontId="37" fillId="3" borderId="0" applyNumberFormat="0" applyBorder="0" applyAlignment="0" applyProtection="0"/>
    <xf numFmtId="0" fontId="37" fillId="7" borderId="0" applyNumberFormat="0" applyBorder="0" applyAlignment="0" applyProtection="0"/>
    <xf numFmtId="0" fontId="37" fillId="6" borderId="0" applyNumberFormat="0" applyBorder="0" applyAlignment="0" applyProtection="0"/>
    <xf numFmtId="0" fontId="37" fillId="9" borderId="0" applyNumberFormat="0" applyBorder="0" applyAlignment="0" applyProtection="0"/>
    <xf numFmtId="0" fontId="37" fillId="3" borderId="0" applyNumberFormat="0" applyBorder="0" applyAlignment="0" applyProtection="0"/>
    <xf numFmtId="0" fontId="38" fillId="7" borderId="1" applyNumberFormat="0" applyAlignment="0" applyProtection="0"/>
    <xf numFmtId="0" fontId="39" fillId="0" borderId="0" applyNumberFormat="0" applyFill="0" applyBorder="0" applyAlignment="0" applyProtection="0"/>
    <xf numFmtId="0" fontId="40" fillId="0" borderId="2" applyNumberFormat="0" applyFill="0" applyAlignment="0" applyProtection="0"/>
    <xf numFmtId="0" fontId="41" fillId="0" borderId="3" applyNumberFormat="0" applyFill="0" applyAlignment="0" applyProtection="0"/>
    <xf numFmtId="0" fontId="42" fillId="0" borderId="4" applyNumberFormat="0" applyFill="0" applyAlignment="0" applyProtection="0"/>
    <xf numFmtId="0" fontId="42" fillId="0" borderId="0" applyNumberFormat="0" applyFill="0" applyBorder="0" applyAlignment="0" applyProtection="0"/>
    <xf numFmtId="0" fontId="43" fillId="10" borderId="5" applyNumberFormat="0" applyAlignment="0" applyProtection="0"/>
    <xf numFmtId="43" fontId="1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45" fillId="0" borderId="6" applyNumberFormat="0" applyFill="0" applyAlignment="0" applyProtection="0"/>
    <xf numFmtId="0" fontId="1" fillId="4" borderId="7" applyNumberFormat="0" applyFont="0" applyAlignment="0" applyProtection="0"/>
    <xf numFmtId="0" fontId="37" fillId="9" borderId="0" applyNumberFormat="0" applyBorder="0" applyAlignment="0" applyProtection="0"/>
    <xf numFmtId="0" fontId="37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37" fillId="9" borderId="0" applyNumberFormat="0" applyBorder="0" applyAlignment="0" applyProtection="0"/>
    <xf numFmtId="0" fontId="37" fillId="14" borderId="0" applyNumberFormat="0" applyBorder="0" applyAlignment="0" applyProtection="0"/>
    <xf numFmtId="0" fontId="46" fillId="15" borderId="0" applyNumberFormat="0" applyBorder="0" applyAlignment="0" applyProtection="0"/>
    <xf numFmtId="0" fontId="47" fillId="16" borderId="8" applyNumberFormat="0" applyAlignment="0" applyProtection="0"/>
    <xf numFmtId="0" fontId="48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1" fillId="0" borderId="0"/>
    <xf numFmtId="0" fontId="2" fillId="0" borderId="0"/>
    <xf numFmtId="0" fontId="2" fillId="0" borderId="0"/>
    <xf numFmtId="0" fontId="49" fillId="0" borderId="9" applyNumberFormat="0" applyFill="0" applyAlignment="0" applyProtection="0"/>
    <xf numFmtId="0" fontId="50" fillId="17" borderId="0" applyNumberFormat="0" applyBorder="0" applyAlignment="0" applyProtection="0"/>
    <xf numFmtId="0" fontId="51" fillId="7" borderId="0" applyNumberFormat="0" applyBorder="0" applyAlignment="0" applyProtection="0"/>
    <xf numFmtId="0" fontId="52" fillId="16" borderId="1" applyNumberFormat="0" applyAlignment="0" applyProtection="0"/>
    <xf numFmtId="9" fontId="1" fillId="0" borderId="0" applyFont="0" applyFill="0" applyBorder="0" applyAlignment="0" applyProtection="0"/>
  </cellStyleXfs>
  <cellXfs count="317">
    <xf numFmtId="0" fontId="0" fillId="0" borderId="0" xfId="0"/>
    <xf numFmtId="0" fontId="6" fillId="0" borderId="0" xfId="42" applyFont="1"/>
    <xf numFmtId="0" fontId="6" fillId="0" borderId="0" xfId="42" applyFont="1" applyAlignment="1">
      <alignment horizontal="center"/>
    </xf>
    <xf numFmtId="49" fontId="14" fillId="0" borderId="0" xfId="44" applyNumberFormat="1" applyFont="1" applyBorder="1" applyAlignment="1">
      <alignment wrapText="1"/>
    </xf>
    <xf numFmtId="0" fontId="15" fillId="0" borderId="0" xfId="44" applyFont="1" applyBorder="1"/>
    <xf numFmtId="0" fontId="16" fillId="0" borderId="10" xfId="44" applyFont="1" applyBorder="1"/>
    <xf numFmtId="0" fontId="15" fillId="0" borderId="11" xfId="44" applyFont="1" applyBorder="1"/>
    <xf numFmtId="49" fontId="18" fillId="0" borderId="0" xfId="44" applyNumberFormat="1" applyFont="1" applyBorder="1" applyAlignment="1">
      <alignment wrapText="1"/>
    </xf>
    <xf numFmtId="49" fontId="18" fillId="0" borderId="0" xfId="41" applyNumberFormat="1" applyFont="1" applyBorder="1" applyAlignment="1"/>
    <xf numFmtId="0" fontId="18" fillId="0" borderId="0" xfId="44" applyFont="1" applyBorder="1" applyAlignment="1">
      <alignment vertical="center"/>
    </xf>
    <xf numFmtId="0" fontId="16" fillId="0" borderId="0" xfId="44" applyFont="1" applyBorder="1" applyAlignment="1">
      <alignment vertical="center"/>
    </xf>
    <xf numFmtId="0" fontId="14" fillId="0" borderId="12" xfId="44" applyFont="1" applyBorder="1" applyAlignment="1">
      <alignment vertical="center"/>
    </xf>
    <xf numFmtId="0" fontId="7" fillId="0" borderId="0" xfId="41" applyFont="1" applyFill="1" applyBorder="1" applyAlignment="1">
      <alignment horizontal="center" vertical="top" wrapText="1"/>
    </xf>
    <xf numFmtId="0" fontId="6" fillId="18" borderId="0" xfId="42" applyFont="1" applyFill="1"/>
    <xf numFmtId="0" fontId="6" fillId="0" borderId="0" xfId="42" applyFont="1" applyFill="1"/>
    <xf numFmtId="0" fontId="15" fillId="0" borderId="19" xfId="44" applyFont="1" applyBorder="1"/>
    <xf numFmtId="0" fontId="15" fillId="0" borderId="20" xfId="44" applyFont="1" applyBorder="1"/>
    <xf numFmtId="0" fontId="15" fillId="0" borderId="0" xfId="44" applyFont="1"/>
    <xf numFmtId="0" fontId="15" fillId="0" borderId="21" xfId="44" applyFont="1" applyBorder="1"/>
    <xf numFmtId="0" fontId="15" fillId="0" borderId="22" xfId="44" applyFont="1" applyBorder="1"/>
    <xf numFmtId="49" fontId="15" fillId="0" borderId="22" xfId="44" applyNumberFormat="1" applyFont="1" applyBorder="1"/>
    <xf numFmtId="0" fontId="15" fillId="0" borderId="21" xfId="44" applyFont="1" applyBorder="1" applyAlignment="1">
      <alignment vertical="center"/>
    </xf>
    <xf numFmtId="0" fontId="15" fillId="0" borderId="22" xfId="44" applyFont="1" applyBorder="1" applyAlignment="1">
      <alignment vertical="center"/>
    </xf>
    <xf numFmtId="0" fontId="15" fillId="0" borderId="0" xfId="44" applyFont="1" applyAlignment="1">
      <alignment vertical="center"/>
    </xf>
    <xf numFmtId="0" fontId="15" fillId="0" borderId="23" xfId="44" applyFont="1" applyBorder="1"/>
    <xf numFmtId="0" fontId="15" fillId="0" borderId="24" xfId="44" applyFont="1" applyBorder="1"/>
    <xf numFmtId="171" fontId="15" fillId="0" borderId="0" xfId="44" applyNumberFormat="1" applyFont="1"/>
    <xf numFmtId="0" fontId="33" fillId="0" borderId="0" xfId="0" applyFont="1" applyAlignment="1">
      <alignment horizontal="center"/>
    </xf>
    <xf numFmtId="0" fontId="34" fillId="0" borderId="11" xfId="0" applyFont="1" applyBorder="1" applyAlignment="1">
      <alignment horizontal="center"/>
    </xf>
    <xf numFmtId="0" fontId="0" fillId="0" borderId="11" xfId="0" applyBorder="1"/>
    <xf numFmtId="0" fontId="27" fillId="0" borderId="0" xfId="0" applyFont="1" applyFill="1" applyAlignment="1">
      <alignment horizontal="center"/>
    </xf>
    <xf numFmtId="0" fontId="28" fillId="0" borderId="0" xfId="0" applyFont="1" applyFill="1" applyAlignment="1">
      <alignment horizontal="center"/>
    </xf>
    <xf numFmtId="0" fontId="12" fillId="0" borderId="13" xfId="43" applyFont="1" applyBorder="1" applyAlignment="1">
      <alignment horizontal="center" vertical="center" wrapText="1"/>
    </xf>
    <xf numFmtId="0" fontId="12" fillId="0" borderId="29" xfId="43" applyFont="1" applyBorder="1" applyAlignment="1">
      <alignment horizontal="center" vertical="center" wrapText="1"/>
    </xf>
    <xf numFmtId="3" fontId="26" fillId="0" borderId="18" xfId="41" applyNumberFormat="1" applyFont="1" applyFill="1" applyBorder="1" applyAlignment="1">
      <alignment horizontal="center" vertical="center" wrapText="1"/>
    </xf>
    <xf numFmtId="3" fontId="8" fillId="0" borderId="34" xfId="43" applyNumberFormat="1" applyFont="1" applyFill="1" applyBorder="1" applyAlignment="1">
      <alignment vertical="center"/>
    </xf>
    <xf numFmtId="3" fontId="8" fillId="0" borderId="30" xfId="43" applyNumberFormat="1" applyFont="1" applyFill="1" applyBorder="1" applyAlignment="1">
      <alignment vertical="center"/>
    </xf>
    <xf numFmtId="0" fontId="29" fillId="0" borderId="0" xfId="0" applyFont="1" applyFill="1" applyAlignment="1">
      <alignment horizontal="center"/>
    </xf>
    <xf numFmtId="0" fontId="8" fillId="0" borderId="35" xfId="42" applyFont="1" applyFill="1" applyBorder="1" applyAlignment="1">
      <alignment horizontal="center" vertical="center"/>
    </xf>
    <xf numFmtId="0" fontId="8" fillId="0" borderId="37" xfId="43" applyFont="1" applyFill="1" applyBorder="1" applyAlignment="1">
      <alignment horizontal="center" vertical="center"/>
    </xf>
    <xf numFmtId="3" fontId="8" fillId="0" borderId="38" xfId="43" applyNumberFormat="1" applyFont="1" applyFill="1" applyBorder="1" applyAlignment="1">
      <alignment vertical="center"/>
    </xf>
    <xf numFmtId="3" fontId="8" fillId="0" borderId="12" xfId="43" applyNumberFormat="1" applyFont="1" applyFill="1" applyBorder="1" applyAlignment="1">
      <alignment vertical="center"/>
    </xf>
    <xf numFmtId="3" fontId="8" fillId="0" borderId="35" xfId="43" applyNumberFormat="1" applyFont="1" applyFill="1" applyBorder="1" applyAlignment="1">
      <alignment vertical="center"/>
    </xf>
    <xf numFmtId="0" fontId="30" fillId="0" borderId="0" xfId="0" applyFont="1" applyFill="1" applyAlignment="1">
      <alignment horizontal="center"/>
    </xf>
    <xf numFmtId="0" fontId="12" fillId="0" borderId="0" xfId="43" applyFont="1" applyBorder="1" applyAlignment="1">
      <alignment horizontal="center" vertical="center" wrapText="1"/>
    </xf>
    <xf numFmtId="3" fontId="26" fillId="0" borderId="39" xfId="43" applyNumberFormat="1" applyFont="1" applyFill="1" applyBorder="1" applyAlignment="1">
      <alignment vertical="center"/>
    </xf>
    <xf numFmtId="3" fontId="26" fillId="0" borderId="40" xfId="43" applyNumberFormat="1" applyFont="1" applyFill="1" applyBorder="1" applyAlignment="1">
      <alignment vertical="center"/>
    </xf>
    <xf numFmtId="3" fontId="13" fillId="0" borderId="41" xfId="43" applyNumberFormat="1" applyFont="1" applyFill="1" applyBorder="1" applyAlignment="1">
      <alignment vertical="center"/>
    </xf>
    <xf numFmtId="3" fontId="8" fillId="0" borderId="32" xfId="43" applyNumberFormat="1" applyFont="1" applyFill="1" applyBorder="1" applyAlignment="1">
      <alignment vertical="center"/>
    </xf>
    <xf numFmtId="3" fontId="8" fillId="0" borderId="37" xfId="43" applyNumberFormat="1" applyFont="1" applyFill="1" applyBorder="1" applyAlignment="1">
      <alignment vertical="center"/>
    </xf>
    <xf numFmtId="0" fontId="8" fillId="0" borderId="0" xfId="42" applyFont="1" applyFill="1" applyBorder="1" applyAlignment="1">
      <alignment horizontal="center" vertical="center"/>
    </xf>
    <xf numFmtId="0" fontId="8" fillId="0" borderId="0" xfId="43" applyFont="1" applyFill="1" applyBorder="1" applyAlignment="1">
      <alignment vertical="center"/>
    </xf>
    <xf numFmtId="0" fontId="8" fillId="0" borderId="0" xfId="43" applyFont="1" applyFill="1" applyBorder="1" applyAlignment="1">
      <alignment horizontal="center" vertical="center"/>
    </xf>
    <xf numFmtId="3" fontId="8" fillId="0" borderId="0" xfId="43" applyNumberFormat="1" applyFont="1" applyFill="1" applyBorder="1" applyAlignment="1">
      <alignment vertical="center"/>
    </xf>
    <xf numFmtId="0" fontId="6" fillId="0" borderId="0" xfId="42" applyFont="1" applyFill="1" applyAlignment="1">
      <alignment horizontal="center"/>
    </xf>
    <xf numFmtId="0" fontId="8" fillId="0" borderId="35" xfId="43" applyFont="1" applyFill="1" applyBorder="1" applyAlignment="1">
      <alignment vertical="center"/>
    </xf>
    <xf numFmtId="0" fontId="6" fillId="0" borderId="0" xfId="42" applyFont="1" applyFill="1" applyBorder="1"/>
    <xf numFmtId="0" fontId="56" fillId="0" borderId="0" xfId="42" applyFont="1" applyFill="1"/>
    <xf numFmtId="0" fontId="57" fillId="0" borderId="0" xfId="0" applyFont="1" applyFill="1" applyAlignment="1">
      <alignment horizontal="center"/>
    </xf>
    <xf numFmtId="0" fontId="58" fillId="0" borderId="0" xfId="0" applyFont="1" applyFill="1" applyAlignment="1">
      <alignment horizontal="center"/>
    </xf>
    <xf numFmtId="0" fontId="59" fillId="0" borderId="0" xfId="44" applyFont="1" applyBorder="1" applyAlignment="1">
      <alignment horizontal="center" wrapText="1"/>
    </xf>
    <xf numFmtId="0" fontId="60" fillId="0" borderId="0" xfId="44" applyFont="1" applyBorder="1" applyAlignment="1">
      <alignment horizontal="center" wrapText="1"/>
    </xf>
    <xf numFmtId="169" fontId="61" fillId="0" borderId="0" xfId="26" applyNumberFormat="1" applyFont="1" applyBorder="1" applyAlignment="1">
      <alignment horizontal="right"/>
    </xf>
    <xf numFmtId="169" fontId="62" fillId="0" borderId="14" xfId="26" applyNumberFormat="1" applyFont="1" applyBorder="1" applyAlignment="1">
      <alignment horizontal="right" vertical="center"/>
    </xf>
    <xf numFmtId="169" fontId="62" fillId="0" borderId="16" xfId="26" applyNumberFormat="1" applyFont="1" applyBorder="1" applyAlignment="1">
      <alignment horizontal="right" vertical="center"/>
    </xf>
    <xf numFmtId="169" fontId="61" fillId="0" borderId="0" xfId="26" applyNumberFormat="1" applyFont="1" applyBorder="1" applyAlignment="1">
      <alignment horizontal="right" vertical="center"/>
    </xf>
    <xf numFmtId="169" fontId="60" fillId="0" borderId="0" xfId="26" applyNumberFormat="1" applyFont="1" applyBorder="1" applyAlignment="1">
      <alignment horizontal="right" vertical="center"/>
    </xf>
    <xf numFmtId="169" fontId="63" fillId="0" borderId="27" xfId="26" applyNumberFormat="1" applyFont="1" applyBorder="1" applyAlignment="1">
      <alignment horizontal="right"/>
    </xf>
    <xf numFmtId="169" fontId="60" fillId="0" borderId="18" xfId="26" applyNumberFormat="1" applyFont="1" applyBorder="1" applyAlignment="1">
      <alignment horizontal="right"/>
    </xf>
    <xf numFmtId="0" fontId="63" fillId="0" borderId="0" xfId="44" applyFont="1" applyBorder="1"/>
    <xf numFmtId="3" fontId="60" fillId="0" borderId="0" xfId="44" applyNumberFormat="1" applyFont="1" applyBorder="1"/>
    <xf numFmtId="0" fontId="63" fillId="0" borderId="11" xfId="44" applyFont="1" applyBorder="1"/>
    <xf numFmtId="0" fontId="63" fillId="0" borderId="0" xfId="44" applyFont="1"/>
    <xf numFmtId="170" fontId="63" fillId="0" borderId="0" xfId="44" applyNumberFormat="1" applyFont="1"/>
    <xf numFmtId="165" fontId="12" fillId="0" borderId="28" xfId="43" applyNumberFormat="1" applyFont="1" applyBorder="1" applyAlignment="1">
      <alignment horizontal="center" vertical="center" wrapText="1"/>
    </xf>
    <xf numFmtId="165" fontId="8" fillId="0" borderId="31" xfId="43" applyNumberFormat="1" applyFont="1" applyFill="1" applyBorder="1" applyAlignment="1">
      <alignment vertical="center"/>
    </xf>
    <xf numFmtId="165" fontId="8" fillId="0" borderId="36" xfId="43" applyNumberFormat="1" applyFont="1" applyFill="1" applyBorder="1" applyAlignment="1">
      <alignment vertical="center"/>
    </xf>
    <xf numFmtId="165" fontId="8" fillId="0" borderId="0" xfId="43" applyNumberFormat="1" applyFont="1" applyFill="1" applyBorder="1" applyAlignment="1">
      <alignment vertical="center"/>
    </xf>
    <xf numFmtId="165" fontId="12" fillId="0" borderId="0" xfId="43" applyNumberFormat="1" applyFont="1" applyBorder="1" applyAlignment="1">
      <alignment horizontal="center" vertical="center" wrapText="1"/>
    </xf>
    <xf numFmtId="165" fontId="6" fillId="0" borderId="0" xfId="42" applyNumberFormat="1" applyFont="1" applyAlignment="1">
      <alignment horizontal="center"/>
    </xf>
    <xf numFmtId="3" fontId="69" fillId="0" borderId="0" xfId="41" applyNumberFormat="1" applyFont="1" applyFill="1" applyAlignment="1" applyProtection="1">
      <alignment horizontal="right"/>
    </xf>
    <xf numFmtId="3" fontId="64" fillId="20" borderId="25" xfId="41" applyNumberFormat="1" applyFont="1" applyFill="1" applyBorder="1" applyAlignment="1" applyProtection="1">
      <alignment horizontal="left" vertical="top"/>
      <protection locked="0"/>
    </xf>
    <xf numFmtId="3" fontId="64" fillId="20" borderId="15" xfId="41" applyNumberFormat="1" applyFont="1" applyFill="1" applyBorder="1" applyAlignment="1" applyProtection="1">
      <alignment horizontal="left" vertical="top"/>
      <protection locked="0"/>
    </xf>
    <xf numFmtId="3" fontId="64" fillId="20" borderId="0" xfId="41" applyNumberFormat="1" applyFont="1" applyFill="1" applyBorder="1" applyAlignment="1" applyProtection="1">
      <alignment horizontal="left" vertical="top"/>
      <protection locked="0"/>
    </xf>
    <xf numFmtId="9" fontId="61" fillId="0" borderId="0" xfId="49" applyFont="1" applyBorder="1" applyAlignment="1">
      <alignment horizontal="center" vertical="center"/>
    </xf>
    <xf numFmtId="9" fontId="61" fillId="0" borderId="0" xfId="49" applyNumberFormat="1" applyFont="1" applyBorder="1" applyAlignment="1">
      <alignment horizontal="center" vertical="center"/>
    </xf>
    <xf numFmtId="168" fontId="64" fillId="22" borderId="0" xfId="41" applyNumberFormat="1" applyFont="1" applyFill="1" applyAlignment="1" applyProtection="1">
      <alignment horizontal="right" vertical="center"/>
      <protection locked="0"/>
    </xf>
    <xf numFmtId="0" fontId="9" fillId="22" borderId="0" xfId="41" applyFont="1" applyFill="1" applyProtection="1">
      <protection locked="0"/>
    </xf>
    <xf numFmtId="166" fontId="66" fillId="22" borderId="0" xfId="41" applyNumberFormat="1" applyFont="1" applyFill="1" applyProtection="1">
      <protection locked="0"/>
    </xf>
    <xf numFmtId="166" fontId="64" fillId="22" borderId="0" xfId="41" applyNumberFormat="1" applyFont="1" applyFill="1" applyProtection="1">
      <protection locked="0"/>
    </xf>
    <xf numFmtId="166" fontId="64" fillId="22" borderId="0" xfId="41" applyNumberFormat="1" applyFont="1" applyFill="1" applyBorder="1" applyProtection="1">
      <protection locked="0"/>
    </xf>
    <xf numFmtId="168" fontId="64" fillId="0" borderId="0" xfId="41" applyNumberFormat="1" applyFont="1" applyFill="1" applyAlignment="1" applyProtection="1">
      <alignment horizontal="right" vertical="center"/>
    </xf>
    <xf numFmtId="3" fontId="65" fillId="0" borderId="0" xfId="41" applyNumberFormat="1" applyFont="1" applyFill="1" applyAlignment="1" applyProtection="1">
      <alignment horizontal="right"/>
    </xf>
    <xf numFmtId="0" fontId="64" fillId="0" borderId="0" xfId="41" applyFont="1" applyFill="1" applyProtection="1"/>
    <xf numFmtId="3" fontId="10" fillId="0" borderId="0" xfId="41" applyNumberFormat="1" applyFont="1" applyFill="1" applyAlignment="1" applyProtection="1">
      <alignment horizontal="right"/>
    </xf>
    <xf numFmtId="3" fontId="65" fillId="0" borderId="0" xfId="41" applyNumberFormat="1" applyFont="1" applyAlignment="1" applyProtection="1">
      <alignment horizontal="right"/>
    </xf>
    <xf numFmtId="0" fontId="64" fillId="0" borderId="0" xfId="41" applyFont="1" applyProtection="1"/>
    <xf numFmtId="3" fontId="10" fillId="0" borderId="0" xfId="41" applyNumberFormat="1" applyFont="1" applyAlignment="1" applyProtection="1">
      <alignment horizontal="right"/>
    </xf>
    <xf numFmtId="3" fontId="65" fillId="0" borderId="25" xfId="41" applyNumberFormat="1" applyFont="1" applyFill="1" applyBorder="1" applyAlignment="1" applyProtection="1">
      <alignment horizontal="right" vertical="center"/>
    </xf>
    <xf numFmtId="0" fontId="64" fillId="0" borderId="0" xfId="41" applyFont="1" applyAlignment="1" applyProtection="1">
      <alignment vertical="center"/>
    </xf>
    <xf numFmtId="3" fontId="10" fillId="0" borderId="0" xfId="41" applyNumberFormat="1" applyFont="1" applyAlignment="1" applyProtection="1">
      <alignment horizontal="right" vertical="center"/>
    </xf>
    <xf numFmtId="3" fontId="65" fillId="0" borderId="0" xfId="41" applyNumberFormat="1" applyFont="1" applyFill="1" applyAlignment="1" applyProtection="1">
      <alignment horizontal="right" vertical="center"/>
    </xf>
    <xf numFmtId="3" fontId="10" fillId="0" borderId="25" xfId="41" applyNumberFormat="1" applyFont="1" applyBorder="1" applyAlignment="1" applyProtection="1">
      <alignment horizontal="right" vertical="center"/>
    </xf>
    <xf numFmtId="3" fontId="10" fillId="0" borderId="0" xfId="41" applyNumberFormat="1" applyFont="1" applyFill="1" applyAlignment="1" applyProtection="1">
      <alignment horizontal="center"/>
    </xf>
    <xf numFmtId="3" fontId="10" fillId="0" borderId="0" xfId="41" applyNumberFormat="1" applyFont="1" applyFill="1" applyBorder="1" applyAlignment="1" applyProtection="1">
      <alignment horizontal="right"/>
    </xf>
    <xf numFmtId="0" fontId="68" fillId="0" borderId="0" xfId="41" applyFont="1" applyFill="1" applyProtection="1"/>
    <xf numFmtId="3" fontId="65" fillId="0" borderId="0" xfId="41" applyNumberFormat="1" applyFont="1" applyFill="1" applyBorder="1" applyAlignment="1" applyProtection="1">
      <alignment horizontal="right"/>
    </xf>
    <xf numFmtId="0" fontId="64" fillId="0" borderId="0" xfId="41" applyFont="1" applyFill="1" applyBorder="1" applyProtection="1"/>
    <xf numFmtId="3" fontId="10" fillId="0" borderId="0" xfId="41" applyNumberFormat="1" applyFont="1" applyBorder="1" applyAlignment="1" applyProtection="1">
      <alignment horizontal="right" vertical="center"/>
    </xf>
    <xf numFmtId="3" fontId="65" fillId="0" borderId="26" xfId="41" applyNumberFormat="1" applyFont="1" applyFill="1" applyBorder="1" applyAlignment="1" applyProtection="1">
      <alignment horizontal="right"/>
    </xf>
    <xf numFmtId="3" fontId="10" fillId="0" borderId="26" xfId="41" applyNumberFormat="1" applyFont="1" applyBorder="1" applyAlignment="1" applyProtection="1">
      <alignment horizontal="right"/>
    </xf>
    <xf numFmtId="3" fontId="65" fillId="0" borderId="26" xfId="41" applyNumberFormat="1" applyFont="1" applyBorder="1" applyAlignment="1" applyProtection="1">
      <alignment horizontal="right"/>
    </xf>
    <xf numFmtId="172" fontId="65" fillId="0" borderId="0" xfId="41" applyNumberFormat="1" applyFont="1" applyFill="1" applyAlignment="1" applyProtection="1">
      <alignment horizontal="right"/>
    </xf>
    <xf numFmtId="4" fontId="10" fillId="0" borderId="0" xfId="41" applyNumberFormat="1" applyFont="1" applyFill="1" applyAlignment="1" applyProtection="1">
      <alignment horizontal="right"/>
    </xf>
    <xf numFmtId="3" fontId="65" fillId="0" borderId="26" xfId="41" applyNumberFormat="1" applyFont="1" applyBorder="1" applyAlignment="1" applyProtection="1"/>
    <xf numFmtId="3" fontId="65" fillId="0" borderId="0" xfId="41" applyNumberFormat="1" applyFont="1" applyBorder="1" applyAlignment="1" applyProtection="1">
      <alignment horizontal="right"/>
    </xf>
    <xf numFmtId="3" fontId="10" fillId="0" borderId="0" xfId="41" applyNumberFormat="1" applyFont="1" applyBorder="1" applyAlignment="1" applyProtection="1">
      <alignment horizontal="right"/>
    </xf>
    <xf numFmtId="3" fontId="65" fillId="0" borderId="13" xfId="41" applyNumberFormat="1" applyFont="1" applyBorder="1" applyAlignment="1" applyProtection="1">
      <alignment horizontal="right" vertical="center"/>
    </xf>
    <xf numFmtId="167" fontId="64" fillId="0" borderId="17" xfId="41" applyNumberFormat="1" applyFont="1" applyBorder="1" applyAlignment="1" applyProtection="1">
      <alignment vertical="center"/>
    </xf>
    <xf numFmtId="3" fontId="10" fillId="0" borderId="13" xfId="41" applyNumberFormat="1" applyFont="1" applyBorder="1" applyAlignment="1" applyProtection="1">
      <alignment horizontal="right" vertical="center"/>
    </xf>
    <xf numFmtId="3" fontId="65" fillId="0" borderId="0" xfId="41" applyNumberFormat="1" applyFont="1" applyBorder="1" applyAlignment="1" applyProtection="1">
      <alignment horizontal="right" vertical="center"/>
    </xf>
    <xf numFmtId="167" fontId="64" fillId="0" borderId="0" xfId="41" applyNumberFormat="1" applyFont="1" applyBorder="1" applyAlignment="1" applyProtection="1">
      <alignment vertical="center"/>
    </xf>
    <xf numFmtId="168" fontId="64" fillId="18" borderId="0" xfId="41" applyNumberFormat="1" applyFont="1" applyFill="1" applyAlignment="1" applyProtection="1">
      <alignment horizontal="right" vertical="center"/>
    </xf>
    <xf numFmtId="0" fontId="9" fillId="0" borderId="0" xfId="41" applyFont="1" applyProtection="1"/>
    <xf numFmtId="0" fontId="10" fillId="0" borderId="0" xfId="41" applyFont="1" applyAlignment="1" applyProtection="1">
      <alignment vertical="top"/>
    </xf>
    <xf numFmtId="49" fontId="9" fillId="0" borderId="0" xfId="41" applyNumberFormat="1" applyFont="1" applyAlignment="1" applyProtection="1">
      <alignment vertical="top"/>
    </xf>
    <xf numFmtId="49" fontId="10" fillId="0" borderId="10" xfId="41" applyNumberFormat="1" applyFont="1" applyBorder="1" applyAlignment="1" applyProtection="1">
      <alignment vertical="center"/>
    </xf>
    <xf numFmtId="0" fontId="10" fillId="0" borderId="18" xfId="41" applyFont="1" applyBorder="1" applyAlignment="1" applyProtection="1">
      <alignment vertical="center"/>
    </xf>
    <xf numFmtId="3" fontId="65" fillId="0" borderId="18" xfId="41" applyNumberFormat="1" applyFont="1" applyFill="1" applyBorder="1" applyAlignment="1" applyProtection="1">
      <alignment vertical="center"/>
    </xf>
    <xf numFmtId="0" fontId="10" fillId="0" borderId="13" xfId="41" applyFont="1" applyFill="1" applyBorder="1" applyAlignment="1" applyProtection="1">
      <alignment horizontal="center" vertical="center"/>
    </xf>
    <xf numFmtId="3" fontId="65" fillId="0" borderId="13" xfId="41" applyNumberFormat="1" applyFont="1" applyFill="1" applyBorder="1" applyAlignment="1" applyProtection="1">
      <alignment horizontal="center" vertical="center"/>
    </xf>
    <xf numFmtId="166" fontId="66" fillId="0" borderId="13" xfId="41" applyNumberFormat="1" applyFont="1" applyBorder="1" applyAlignment="1" applyProtection="1">
      <alignment horizontal="center" vertical="center"/>
    </xf>
    <xf numFmtId="3" fontId="65" fillId="0" borderId="13" xfId="41" applyNumberFormat="1" applyFont="1" applyBorder="1" applyAlignment="1" applyProtection="1">
      <alignment horizontal="center" vertical="center"/>
    </xf>
    <xf numFmtId="0" fontId="65" fillId="0" borderId="27" xfId="41" applyFont="1" applyBorder="1" applyAlignment="1" applyProtection="1">
      <alignment vertical="center"/>
    </xf>
    <xf numFmtId="3" fontId="10" fillId="0" borderId="13" xfId="41" applyNumberFormat="1" applyFont="1" applyBorder="1" applyAlignment="1" applyProtection="1">
      <alignment horizontal="center" vertical="center"/>
    </xf>
    <xf numFmtId="0" fontId="10" fillId="0" borderId="0" xfId="41" applyFont="1" applyAlignment="1" applyProtection="1">
      <alignment vertical="center"/>
    </xf>
    <xf numFmtId="0" fontId="20" fillId="0" borderId="0" xfId="41" applyFont="1" applyBorder="1" applyProtection="1"/>
    <xf numFmtId="49" fontId="10" fillId="0" borderId="0" xfId="41" applyNumberFormat="1" applyFont="1" applyBorder="1" applyAlignment="1" applyProtection="1">
      <alignment vertical="top"/>
    </xf>
    <xf numFmtId="0" fontId="10" fillId="0" borderId="0" xfId="41" applyFont="1" applyBorder="1" applyAlignment="1" applyProtection="1">
      <alignment vertical="top"/>
    </xf>
    <xf numFmtId="3" fontId="65" fillId="0" borderId="0" xfId="41" applyNumberFormat="1" applyFont="1" applyFill="1" applyBorder="1" applyAlignment="1" applyProtection="1">
      <alignment vertical="top"/>
    </xf>
    <xf numFmtId="0" fontId="10" fillId="0" borderId="0" xfId="41" applyFont="1" applyFill="1" applyBorder="1" applyAlignment="1" applyProtection="1">
      <alignment horizontal="center" vertical="center"/>
    </xf>
    <xf numFmtId="3" fontId="65" fillId="0" borderId="0" xfId="41" applyNumberFormat="1" applyFont="1" applyFill="1" applyBorder="1" applyAlignment="1" applyProtection="1">
      <alignment horizontal="center"/>
    </xf>
    <xf numFmtId="166" fontId="66" fillId="0" borderId="0" xfId="41" applyNumberFormat="1" applyFont="1" applyBorder="1" applyAlignment="1" applyProtection="1">
      <alignment horizontal="center"/>
    </xf>
    <xf numFmtId="3" fontId="65" fillId="0" borderId="0" xfId="41" applyNumberFormat="1" applyFont="1" applyBorder="1" applyAlignment="1" applyProtection="1">
      <alignment horizontal="center"/>
    </xf>
    <xf numFmtId="0" fontId="65" fillId="0" borderId="0" xfId="41" applyFont="1" applyBorder="1" applyProtection="1"/>
    <xf numFmtId="3" fontId="10" fillId="0" borderId="0" xfId="41" applyNumberFormat="1" applyFont="1" applyBorder="1" applyAlignment="1" applyProtection="1">
      <alignment horizontal="center"/>
    </xf>
    <xf numFmtId="0" fontId="10" fillId="0" borderId="0" xfId="41" applyFont="1" applyProtection="1"/>
    <xf numFmtId="49" fontId="21" fillId="0" borderId="12" xfId="41" applyNumberFormat="1" applyFont="1" applyBorder="1" applyAlignment="1" applyProtection="1">
      <alignment vertical="top"/>
    </xf>
    <xf numFmtId="49" fontId="21" fillId="0" borderId="14" xfId="41" applyNumberFormat="1" applyFont="1" applyBorder="1" applyAlignment="1" applyProtection="1">
      <alignment vertical="top"/>
    </xf>
    <xf numFmtId="0" fontId="9" fillId="0" borderId="14" xfId="41" applyFont="1" applyBorder="1" applyAlignment="1" applyProtection="1">
      <alignment vertical="top"/>
    </xf>
    <xf numFmtId="3" fontId="64" fillId="0" borderId="14" xfId="41" applyNumberFormat="1" applyFont="1" applyFill="1" applyBorder="1" applyAlignment="1" applyProtection="1">
      <alignment vertical="top"/>
    </xf>
    <xf numFmtId="0" fontId="9" fillId="0" borderId="16" xfId="41" applyFont="1" applyFill="1" applyBorder="1" applyAlignment="1" applyProtection="1">
      <alignment horizontal="right" vertical="center"/>
    </xf>
    <xf numFmtId="168" fontId="64" fillId="0" borderId="0" xfId="41" applyNumberFormat="1" applyFont="1" applyFill="1" applyBorder="1" applyAlignment="1" applyProtection="1">
      <alignment horizontal="right" vertical="center"/>
    </xf>
    <xf numFmtId="166" fontId="67" fillId="0" borderId="0" xfId="41" applyNumberFormat="1" applyFont="1" applyBorder="1" applyProtection="1"/>
    <xf numFmtId="3" fontId="65" fillId="0" borderId="0" xfId="41" applyNumberFormat="1" applyFont="1" applyAlignment="1" applyProtection="1">
      <alignment horizontal="center"/>
    </xf>
    <xf numFmtId="3" fontId="10" fillId="0" borderId="0" xfId="41" applyNumberFormat="1" applyFont="1" applyAlignment="1" applyProtection="1">
      <alignment horizontal="center"/>
    </xf>
    <xf numFmtId="49" fontId="21" fillId="0" borderId="0" xfId="41" applyNumberFormat="1" applyFont="1" applyBorder="1" applyAlignment="1" applyProtection="1">
      <alignment vertical="top"/>
    </xf>
    <xf numFmtId="0" fontId="9" fillId="0" borderId="0" xfId="41" applyFont="1" applyBorder="1" applyAlignment="1" applyProtection="1">
      <alignment vertical="top"/>
    </xf>
    <xf numFmtId="3" fontId="64" fillId="0" borderId="0" xfId="41" applyNumberFormat="1" applyFont="1" applyFill="1" applyBorder="1" applyAlignment="1" applyProtection="1">
      <alignment vertical="top"/>
    </xf>
    <xf numFmtId="0" fontId="9" fillId="0" borderId="0" xfId="41" applyFont="1" applyFill="1" applyBorder="1" applyAlignment="1" applyProtection="1">
      <alignment horizontal="right" vertical="center"/>
    </xf>
    <xf numFmtId="164" fontId="9" fillId="0" borderId="0" xfId="41" applyNumberFormat="1" applyFont="1" applyFill="1" applyAlignment="1" applyProtection="1">
      <alignment vertical="top"/>
    </xf>
    <xf numFmtId="49" fontId="9" fillId="0" borderId="0" xfId="41" applyNumberFormat="1" applyFont="1" applyFill="1" applyAlignment="1" applyProtection="1">
      <alignment horizontal="left" vertical="top" wrapText="1"/>
    </xf>
    <xf numFmtId="49" fontId="9" fillId="0" borderId="0" xfId="41" applyNumberFormat="1" applyFont="1" applyFill="1" applyAlignment="1" applyProtection="1">
      <alignment horizontal="left" vertical="top"/>
    </xf>
    <xf numFmtId="0" fontId="9" fillId="0" borderId="0" xfId="41" applyFont="1" applyFill="1" applyAlignment="1" applyProtection="1">
      <alignment vertical="top"/>
    </xf>
    <xf numFmtId="3" fontId="65" fillId="0" borderId="0" xfId="41" applyNumberFormat="1" applyFont="1" applyFill="1" applyAlignment="1" applyProtection="1">
      <alignment horizontal="justify" vertical="top" wrapText="1"/>
    </xf>
    <xf numFmtId="0" fontId="9" fillId="0" borderId="0" xfId="41" applyFont="1" applyFill="1" applyAlignment="1" applyProtection="1">
      <alignment horizontal="right" vertical="center"/>
    </xf>
    <xf numFmtId="166" fontId="64" fillId="0" borderId="0" xfId="41" applyNumberFormat="1" applyFont="1" applyFill="1" applyProtection="1"/>
    <xf numFmtId="0" fontId="9" fillId="0" borderId="0" xfId="41" applyFont="1" applyAlignment="1" applyProtection="1">
      <alignment vertical="top"/>
    </xf>
    <xf numFmtId="3" fontId="64" fillId="0" borderId="0" xfId="41" applyNumberFormat="1" applyFont="1" applyFill="1" applyAlignment="1" applyProtection="1">
      <alignment horizontal="left" vertical="top"/>
    </xf>
    <xf numFmtId="166" fontId="64" fillId="0" borderId="0" xfId="41" applyNumberFormat="1" applyFont="1" applyBorder="1" applyProtection="1"/>
    <xf numFmtId="49" fontId="9" fillId="0" borderId="0" xfId="41" applyNumberFormat="1" applyFont="1" applyAlignment="1" applyProtection="1">
      <alignment horizontal="left" vertical="top"/>
    </xf>
    <xf numFmtId="3" fontId="64" fillId="20" borderId="15" xfId="41" applyNumberFormat="1" applyFont="1" applyFill="1" applyBorder="1" applyAlignment="1" applyProtection="1">
      <alignment horizontal="left" vertical="top"/>
    </xf>
    <xf numFmtId="0" fontId="9" fillId="0" borderId="0" xfId="41" applyFont="1" applyFill="1" applyProtection="1"/>
    <xf numFmtId="3" fontId="64" fillId="0" borderId="0" xfId="41" applyNumberFormat="1" applyFont="1" applyFill="1" applyAlignment="1" applyProtection="1">
      <alignment vertical="top"/>
    </xf>
    <xf numFmtId="166" fontId="66" fillId="0" borderId="0" xfId="41" applyNumberFormat="1" applyFont="1" applyFill="1" applyProtection="1"/>
    <xf numFmtId="0" fontId="23" fillId="0" borderId="0" xfId="41" applyFont="1" applyFill="1" applyProtection="1"/>
    <xf numFmtId="49" fontId="23" fillId="0" borderId="0" xfId="41" applyNumberFormat="1" applyFont="1" applyFill="1" applyAlignment="1" applyProtection="1">
      <alignment vertical="top"/>
    </xf>
    <xf numFmtId="0" fontId="23" fillId="0" borderId="0" xfId="41" applyFont="1" applyFill="1" applyAlignment="1" applyProtection="1">
      <alignment vertical="top"/>
    </xf>
    <xf numFmtId="3" fontId="68" fillId="0" borderId="0" xfId="41" applyNumberFormat="1" applyFont="1" applyFill="1" applyAlignment="1" applyProtection="1">
      <alignment horizontal="right" vertical="top"/>
    </xf>
    <xf numFmtId="0" fontId="23" fillId="0" borderId="0" xfId="41" applyFont="1" applyFill="1" applyBorder="1" applyAlignment="1" applyProtection="1">
      <alignment horizontal="right" vertical="center"/>
    </xf>
    <xf numFmtId="168" fontId="68" fillId="0" borderId="0" xfId="41" applyNumberFormat="1" applyFont="1" applyFill="1" applyBorder="1" applyAlignment="1" applyProtection="1">
      <alignment horizontal="right" vertical="center"/>
    </xf>
    <xf numFmtId="3" fontId="9" fillId="0" borderId="0" xfId="41" applyNumberFormat="1" applyFont="1" applyFill="1" applyAlignment="1" applyProtection="1">
      <alignment vertical="top"/>
    </xf>
    <xf numFmtId="0" fontId="64" fillId="0" borderId="0" xfId="41" applyFont="1" applyFill="1" applyAlignment="1" applyProtection="1">
      <alignment horizontal="right" vertical="center"/>
    </xf>
    <xf numFmtId="168" fontId="9" fillId="0" borderId="0" xfId="41" applyNumberFormat="1" applyFont="1" applyFill="1" applyAlignment="1" applyProtection="1">
      <alignment horizontal="right" vertical="center"/>
    </xf>
    <xf numFmtId="3" fontId="9" fillId="0" borderId="0" xfId="41" applyNumberFormat="1" applyFont="1" applyFill="1" applyAlignment="1" applyProtection="1">
      <alignment horizontal="left" vertical="top"/>
    </xf>
    <xf numFmtId="49" fontId="10" fillId="0" borderId="12" xfId="41" applyNumberFormat="1" applyFont="1" applyBorder="1" applyAlignment="1" applyProtection="1">
      <alignment vertical="top"/>
    </xf>
    <xf numFmtId="49" fontId="10" fillId="0" borderId="14" xfId="41" applyNumberFormat="1" applyFont="1" applyBorder="1" applyAlignment="1" applyProtection="1">
      <alignment vertical="top"/>
    </xf>
    <xf numFmtId="166" fontId="67" fillId="0" borderId="14" xfId="41" applyNumberFormat="1" applyFont="1" applyBorder="1" applyProtection="1"/>
    <xf numFmtId="166" fontId="67" fillId="0" borderId="16" xfId="41" applyNumberFormat="1" applyFont="1" applyBorder="1" applyProtection="1"/>
    <xf numFmtId="0" fontId="10" fillId="0" borderId="16" xfId="41" applyFont="1" applyFill="1" applyBorder="1" applyAlignment="1" applyProtection="1">
      <alignment horizontal="right" vertical="center"/>
    </xf>
    <xf numFmtId="0" fontId="10" fillId="0" borderId="0" xfId="41" applyFont="1" applyFill="1" applyBorder="1" applyAlignment="1" applyProtection="1">
      <alignment horizontal="right" vertical="center"/>
    </xf>
    <xf numFmtId="164" fontId="9" fillId="0" borderId="0" xfId="41" applyNumberFormat="1" applyFont="1" applyAlignment="1" applyProtection="1">
      <alignment vertical="top"/>
    </xf>
    <xf numFmtId="49" fontId="9" fillId="0" borderId="0" xfId="41" applyNumberFormat="1" applyFont="1" applyAlignment="1" applyProtection="1">
      <alignment horizontal="left" vertical="top" wrapText="1"/>
    </xf>
    <xf numFmtId="166" fontId="64" fillId="0" borderId="0" xfId="41" applyNumberFormat="1" applyFont="1" applyProtection="1"/>
    <xf numFmtId="166" fontId="66" fillId="0" borderId="0" xfId="41" applyNumberFormat="1" applyFont="1" applyProtection="1"/>
    <xf numFmtId="3" fontId="64" fillId="0" borderId="0" xfId="41" applyNumberFormat="1" applyFont="1" applyFill="1" applyAlignment="1" applyProtection="1">
      <alignment horizontal="left" vertical="top" wrapText="1"/>
    </xf>
    <xf numFmtId="166" fontId="66" fillId="19" borderId="0" xfId="41" applyNumberFormat="1" applyFont="1" applyFill="1" applyProtection="1"/>
    <xf numFmtId="164" fontId="9" fillId="0" borderId="0" xfId="41" applyNumberFormat="1" applyFont="1" applyFill="1" applyProtection="1"/>
    <xf numFmtId="3" fontId="65" fillId="0" borderId="0" xfId="41" applyNumberFormat="1" applyFont="1" applyFill="1" applyAlignment="1" applyProtection="1">
      <alignment horizontal="left" vertical="top" wrapText="1"/>
    </xf>
    <xf numFmtId="166" fontId="70" fillId="0" borderId="0" xfId="41" applyNumberFormat="1" applyFont="1" applyProtection="1"/>
    <xf numFmtId="3" fontId="64" fillId="0" borderId="0" xfId="41" applyNumberFormat="1" applyFont="1" applyFill="1" applyBorder="1" applyAlignment="1" applyProtection="1">
      <alignment horizontal="left" vertical="top"/>
    </xf>
    <xf numFmtId="0" fontId="6" fillId="0" borderId="0" xfId="41" applyFont="1" applyProtection="1"/>
    <xf numFmtId="0" fontId="10" fillId="0" borderId="14" xfId="41" applyFont="1" applyFill="1" applyBorder="1" applyAlignment="1" applyProtection="1">
      <alignment horizontal="right" vertical="center"/>
    </xf>
    <xf numFmtId="166" fontId="71" fillId="0" borderId="0" xfId="41" applyNumberFormat="1" applyFont="1" applyProtection="1"/>
    <xf numFmtId="3" fontId="72" fillId="0" borderId="15" xfId="41" applyNumberFormat="1" applyFont="1" applyFill="1" applyBorder="1" applyAlignment="1" applyProtection="1">
      <alignment horizontal="left" vertical="top" wrapText="1"/>
    </xf>
    <xf numFmtId="0" fontId="22" fillId="0" borderId="15" xfId="41" applyFont="1" applyFill="1" applyBorder="1" applyAlignment="1" applyProtection="1">
      <alignment horizontal="right" vertical="center"/>
    </xf>
    <xf numFmtId="3" fontId="72" fillId="0" borderId="0" xfId="41" applyNumberFormat="1" applyFont="1" applyFill="1" applyBorder="1" applyAlignment="1" applyProtection="1">
      <alignment horizontal="left" vertical="top" wrapText="1"/>
    </xf>
    <xf numFmtId="0" fontId="22" fillId="0" borderId="0" xfId="41" applyFont="1" applyFill="1" applyBorder="1" applyAlignment="1" applyProtection="1">
      <alignment horizontal="right" vertical="center"/>
    </xf>
    <xf numFmtId="49" fontId="9" fillId="0" borderId="0" xfId="41" applyNumberFormat="1" applyFont="1" applyFill="1" applyAlignment="1" applyProtection="1">
      <alignment vertical="top"/>
    </xf>
    <xf numFmtId="0" fontId="64" fillId="0" borderId="0" xfId="41" applyFont="1" applyFill="1" applyAlignment="1" applyProtection="1">
      <alignment vertical="center"/>
    </xf>
    <xf numFmtId="0" fontId="9" fillId="0" borderId="0" xfId="41" applyFont="1" applyBorder="1" applyProtection="1"/>
    <xf numFmtId="0" fontId="6" fillId="21" borderId="0" xfId="42" applyFont="1" applyFill="1"/>
    <xf numFmtId="168" fontId="64" fillId="23" borderId="0" xfId="41" applyNumberFormat="1" applyFont="1" applyFill="1" applyAlignment="1" applyProtection="1">
      <alignment horizontal="right" vertical="center"/>
    </xf>
    <xf numFmtId="4" fontId="64" fillId="23" borderId="0" xfId="41" applyNumberFormat="1" applyFont="1" applyFill="1" applyAlignment="1" applyProtection="1">
      <alignment horizontal="right" vertical="center"/>
    </xf>
    <xf numFmtId="0" fontId="8" fillId="21" borderId="30" xfId="42" applyFont="1" applyFill="1" applyBorder="1" applyAlignment="1">
      <alignment horizontal="center" vertical="center"/>
    </xf>
    <xf numFmtId="0" fontId="8" fillId="21" borderId="30" xfId="43" applyFont="1" applyFill="1" applyBorder="1" applyAlignment="1">
      <alignment vertical="center"/>
    </xf>
    <xf numFmtId="0" fontId="29" fillId="21" borderId="0" xfId="0" applyFont="1" applyFill="1" applyAlignment="1">
      <alignment horizontal="center"/>
    </xf>
    <xf numFmtId="0" fontId="8" fillId="21" borderId="35" xfId="42" applyFont="1" applyFill="1" applyBorder="1" applyAlignment="1">
      <alignment horizontal="center" vertical="center"/>
    </xf>
    <xf numFmtId="0" fontId="8" fillId="21" borderId="35" xfId="43" applyFont="1" applyFill="1" applyBorder="1" applyAlignment="1">
      <alignment vertical="center"/>
    </xf>
    <xf numFmtId="0" fontId="30" fillId="21" borderId="0" xfId="0" applyFont="1" applyFill="1" applyAlignment="1">
      <alignment horizontal="center"/>
    </xf>
    <xf numFmtId="165" fontId="8" fillId="24" borderId="31" xfId="43" applyNumberFormat="1" applyFont="1" applyFill="1" applyBorder="1" applyAlignment="1">
      <alignment vertical="center"/>
    </xf>
    <xf numFmtId="165" fontId="8" fillId="24" borderId="36" xfId="43" applyNumberFormat="1" applyFont="1" applyFill="1" applyBorder="1" applyAlignment="1">
      <alignment vertical="center"/>
    </xf>
    <xf numFmtId="3" fontId="8" fillId="22" borderId="33" xfId="43" applyNumberFormat="1" applyFont="1" applyFill="1" applyBorder="1" applyAlignment="1">
      <alignment vertical="center"/>
    </xf>
    <xf numFmtId="3" fontId="8" fillId="22" borderId="38" xfId="43" applyNumberFormat="1" applyFont="1" applyFill="1" applyBorder="1" applyAlignment="1">
      <alignment vertical="center"/>
    </xf>
    <xf numFmtId="3" fontId="64" fillId="0" borderId="0" xfId="41" applyNumberFormat="1" applyFont="1" applyFill="1" applyAlignment="1" applyProtection="1">
      <alignment horizontal="left" vertical="top"/>
      <protection locked="0"/>
    </xf>
    <xf numFmtId="168" fontId="64" fillId="22" borderId="13" xfId="41" applyNumberFormat="1" applyFont="1" applyFill="1" applyBorder="1" applyAlignment="1" applyProtection="1">
      <alignment horizontal="right" vertical="center"/>
      <protection locked="0"/>
    </xf>
    <xf numFmtId="168" fontId="64" fillId="22" borderId="13" xfId="41" applyNumberFormat="1" applyFont="1" applyFill="1" applyBorder="1" applyAlignment="1" applyProtection="1">
      <alignment horizontal="right" vertical="center"/>
    </xf>
    <xf numFmtId="4" fontId="68" fillId="22" borderId="13" xfId="41" applyNumberFormat="1" applyFont="1" applyFill="1" applyBorder="1" applyAlignment="1" applyProtection="1">
      <alignment horizontal="right" vertical="center"/>
      <protection locked="0"/>
    </xf>
    <xf numFmtId="166" fontId="64" fillId="22" borderId="13" xfId="41" applyNumberFormat="1" applyFont="1" applyFill="1" applyBorder="1" applyProtection="1">
      <protection locked="0"/>
    </xf>
    <xf numFmtId="0" fontId="8" fillId="0" borderId="26" xfId="43" applyFont="1" applyFill="1" applyBorder="1" applyAlignment="1">
      <alignment vertical="center"/>
    </xf>
    <xf numFmtId="165" fontId="8" fillId="0" borderId="26" xfId="43" applyNumberFormat="1" applyFont="1" applyFill="1" applyBorder="1" applyAlignment="1">
      <alignment horizontal="center" vertical="center"/>
    </xf>
    <xf numFmtId="165" fontId="8" fillId="0" borderId="26" xfId="43" applyNumberFormat="1" applyFont="1" applyFill="1" applyBorder="1" applyAlignment="1">
      <alignment vertical="center"/>
    </xf>
    <xf numFmtId="0" fontId="8" fillId="0" borderId="26" xfId="43" applyFont="1" applyFill="1" applyBorder="1" applyAlignment="1">
      <alignment horizontal="left" vertical="center"/>
    </xf>
    <xf numFmtId="1" fontId="8" fillId="0" borderId="26" xfId="43" applyNumberFormat="1" applyFont="1" applyFill="1" applyBorder="1" applyAlignment="1">
      <alignment vertical="center"/>
    </xf>
    <xf numFmtId="0" fontId="8" fillId="21" borderId="26" xfId="43" applyFont="1" applyFill="1" applyBorder="1" applyAlignment="1">
      <alignment vertical="center"/>
    </xf>
    <xf numFmtId="165" fontId="8" fillId="21" borderId="26" xfId="43" applyNumberFormat="1" applyFont="1" applyFill="1" applyBorder="1" applyAlignment="1">
      <alignment horizontal="center" vertical="center"/>
    </xf>
    <xf numFmtId="165" fontId="8" fillId="21" borderId="26" xfId="43" applyNumberFormat="1" applyFont="1" applyFill="1" applyBorder="1" applyAlignment="1">
      <alignment vertical="center"/>
    </xf>
    <xf numFmtId="0" fontId="8" fillId="21" borderId="26" xfId="43" applyFont="1" applyFill="1" applyBorder="1" applyAlignment="1">
      <alignment horizontal="left" vertical="center"/>
    </xf>
    <xf numFmtId="1" fontId="8" fillId="0" borderId="26" xfId="43" applyNumberFormat="1" applyFont="1" applyFill="1" applyBorder="1" applyAlignment="1">
      <alignment horizontal="center" vertical="center"/>
    </xf>
    <xf numFmtId="1" fontId="8" fillId="21" borderId="26" xfId="43" applyNumberFormat="1" applyFont="1" applyFill="1" applyBorder="1" applyAlignment="1">
      <alignment horizontal="center" vertical="center"/>
    </xf>
    <xf numFmtId="0" fontId="8" fillId="0" borderId="51" xfId="43" applyFont="1" applyFill="1" applyBorder="1" applyAlignment="1">
      <alignment vertical="center"/>
    </xf>
    <xf numFmtId="165" fontId="8" fillId="0" borderId="51" xfId="43" applyNumberFormat="1" applyFont="1" applyFill="1" applyBorder="1" applyAlignment="1">
      <alignment horizontal="center" vertical="center"/>
    </xf>
    <xf numFmtId="165" fontId="8" fillId="0" borderId="51" xfId="43" applyNumberFormat="1" applyFont="1" applyFill="1" applyBorder="1" applyAlignment="1">
      <alignment vertical="center"/>
    </xf>
    <xf numFmtId="0" fontId="8" fillId="0" borderId="38" xfId="42" applyFont="1" applyFill="1" applyBorder="1" applyAlignment="1">
      <alignment horizontal="center" vertical="center"/>
    </xf>
    <xf numFmtId="0" fontId="8" fillId="21" borderId="38" xfId="42" applyFont="1" applyFill="1" applyBorder="1" applyAlignment="1">
      <alignment horizontal="center" vertical="center"/>
    </xf>
    <xf numFmtId="0" fontId="8" fillId="21" borderId="52" xfId="42" applyFont="1" applyFill="1" applyBorder="1" applyAlignment="1">
      <alignment horizontal="center" vertical="center"/>
    </xf>
    <xf numFmtId="0" fontId="8" fillId="21" borderId="53" xfId="43" applyFont="1" applyFill="1" applyBorder="1" applyAlignment="1">
      <alignment horizontal="left" vertical="center"/>
    </xf>
    <xf numFmtId="1" fontId="8" fillId="21" borderId="53" xfId="43" applyNumberFormat="1" applyFont="1" applyFill="1" applyBorder="1" applyAlignment="1">
      <alignment horizontal="center" vertical="center"/>
    </xf>
    <xf numFmtId="165" fontId="8" fillId="21" borderId="53" xfId="43" applyNumberFormat="1" applyFont="1" applyFill="1" applyBorder="1" applyAlignment="1">
      <alignment horizontal="center" vertical="center"/>
    </xf>
    <xf numFmtId="165" fontId="8" fillId="21" borderId="53" xfId="43" applyNumberFormat="1" applyFont="1" applyFill="1" applyBorder="1" applyAlignment="1">
      <alignment vertical="center"/>
    </xf>
    <xf numFmtId="0" fontId="66" fillId="0" borderId="0" xfId="42" applyFont="1" applyFill="1"/>
    <xf numFmtId="0" fontId="67" fillId="0" borderId="0" xfId="0" applyFont="1" applyFill="1" applyAlignment="1">
      <alignment horizontal="center"/>
    </xf>
    <xf numFmtId="0" fontId="8" fillId="0" borderId="0" xfId="42" applyFont="1" applyFill="1"/>
    <xf numFmtId="0" fontId="66" fillId="21" borderId="0" xfId="42" applyFont="1" applyFill="1"/>
    <xf numFmtId="0" fontId="66" fillId="21" borderId="0" xfId="0" applyFont="1" applyFill="1" applyAlignment="1">
      <alignment horizontal="center"/>
    </xf>
    <xf numFmtId="0" fontId="8" fillId="21" borderId="0" xfId="42" applyFont="1" applyFill="1"/>
    <xf numFmtId="0" fontId="66" fillId="0" borderId="0" xfId="0" applyFont="1" applyFill="1" applyAlignment="1">
      <alignment horizontal="center"/>
    </xf>
    <xf numFmtId="0" fontId="8" fillId="0" borderId="0" xfId="42" applyFont="1" applyFill="1" applyAlignment="1">
      <alignment horizontal="center"/>
    </xf>
    <xf numFmtId="0" fontId="8" fillId="0" borderId="33" xfId="42" applyFont="1" applyFill="1" applyBorder="1" applyAlignment="1">
      <alignment horizontal="center" vertical="center"/>
    </xf>
    <xf numFmtId="0" fontId="8" fillId="0" borderId="39" xfId="43" applyFont="1" applyFill="1" applyBorder="1" applyAlignment="1">
      <alignment horizontal="center" vertical="center"/>
    </xf>
    <xf numFmtId="0" fontId="8" fillId="0" borderId="40" xfId="43" applyFont="1" applyFill="1" applyBorder="1" applyAlignment="1">
      <alignment horizontal="center" vertical="center"/>
    </xf>
    <xf numFmtId="0" fontId="8" fillId="21" borderId="40" xfId="43" applyFont="1" applyFill="1" applyBorder="1" applyAlignment="1">
      <alignment horizontal="center" vertical="center"/>
    </xf>
    <xf numFmtId="0" fontId="8" fillId="0" borderId="40" xfId="42" applyFont="1" applyFill="1" applyBorder="1" applyAlignment="1">
      <alignment horizontal="center" vertical="center"/>
    </xf>
    <xf numFmtId="0" fontId="8" fillId="21" borderId="40" xfId="42" applyFont="1" applyFill="1" applyBorder="1" applyAlignment="1">
      <alignment horizontal="center" vertical="center"/>
    </xf>
    <xf numFmtId="0" fontId="8" fillId="21" borderId="41" xfId="42" applyFont="1" applyFill="1" applyBorder="1" applyAlignment="1">
      <alignment horizontal="center" vertical="center"/>
    </xf>
    <xf numFmtId="0" fontId="64" fillId="0" borderId="0" xfId="41" applyFont="1" applyFill="1" applyAlignment="1" applyProtection="1">
      <alignment horizontal="left" vertical="center"/>
    </xf>
    <xf numFmtId="0" fontId="9" fillId="0" borderId="0" xfId="41" applyFont="1" applyFill="1" applyAlignment="1" applyProtection="1">
      <alignment horizontal="left" vertical="top"/>
    </xf>
    <xf numFmtId="3" fontId="64" fillId="0" borderId="14" xfId="41" applyNumberFormat="1" applyFont="1" applyFill="1" applyBorder="1" applyAlignment="1" applyProtection="1">
      <alignment horizontal="left" vertical="top"/>
    </xf>
    <xf numFmtId="3" fontId="56" fillId="0" borderId="0" xfId="41" applyNumberFormat="1" applyFont="1" applyFill="1" applyAlignment="1" applyProtection="1">
      <alignment horizontal="left" vertical="top" wrapText="1"/>
    </xf>
    <xf numFmtId="165" fontId="8" fillId="0" borderId="0" xfId="42" applyNumberFormat="1" applyFont="1" applyFill="1"/>
    <xf numFmtId="165" fontId="66" fillId="21" borderId="0" xfId="42" applyNumberFormat="1" applyFont="1" applyFill="1"/>
    <xf numFmtId="0" fontId="35" fillId="0" borderId="43" xfId="0" applyFont="1" applyBorder="1" applyAlignment="1">
      <alignment horizontal="center"/>
    </xf>
    <xf numFmtId="0" fontId="27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32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31" fillId="0" borderId="0" xfId="0" applyFont="1" applyAlignment="1">
      <alignment horizontal="center"/>
    </xf>
    <xf numFmtId="0" fontId="9" fillId="0" borderId="44" xfId="43" applyFont="1" applyFill="1" applyBorder="1" applyAlignment="1">
      <alignment horizontal="center" vertical="center" wrapText="1"/>
    </xf>
    <xf numFmtId="0" fontId="9" fillId="0" borderId="17" xfId="43" applyFont="1" applyFill="1" applyBorder="1" applyAlignment="1">
      <alignment horizontal="center" vertical="center" wrapText="1"/>
    </xf>
    <xf numFmtId="3" fontId="26" fillId="0" borderId="0" xfId="41" applyNumberFormat="1" applyFont="1" applyFill="1" applyBorder="1" applyAlignment="1">
      <alignment horizontal="center" vertical="center" wrapText="1"/>
    </xf>
    <xf numFmtId="0" fontId="13" fillId="0" borderId="0" xfId="43" applyFont="1" applyFill="1" applyBorder="1" applyAlignment="1">
      <alignment horizontal="center" vertical="center" wrapText="1"/>
    </xf>
    <xf numFmtId="0" fontId="12" fillId="0" borderId="44" xfId="43" applyFont="1" applyFill="1" applyBorder="1" applyAlignment="1">
      <alignment horizontal="center" vertical="center" wrapText="1"/>
    </xf>
    <xf numFmtId="0" fontId="12" fillId="0" borderId="17" xfId="43" applyFont="1" applyFill="1" applyBorder="1" applyAlignment="1">
      <alignment horizontal="center" vertical="center" wrapText="1"/>
    </xf>
    <xf numFmtId="0" fontId="7" fillId="0" borderId="0" xfId="41" applyFont="1" applyFill="1" applyBorder="1" applyAlignment="1">
      <alignment horizontal="left" vertical="top" wrapText="1"/>
    </xf>
    <xf numFmtId="3" fontId="74" fillId="0" borderId="45" xfId="41" applyNumberFormat="1" applyFont="1" applyFill="1" applyBorder="1" applyAlignment="1">
      <alignment horizontal="left" vertical="center" wrapText="1"/>
    </xf>
    <xf numFmtId="49" fontId="11" fillId="0" borderId="0" xfId="41" applyNumberFormat="1" applyFont="1" applyBorder="1" applyAlignment="1" applyProtection="1">
      <alignment horizontal="center" vertical="center"/>
    </xf>
    <xf numFmtId="3" fontId="13" fillId="0" borderId="0" xfId="41" applyNumberFormat="1" applyFont="1" applyFill="1" applyBorder="1" applyAlignment="1" applyProtection="1">
      <alignment horizontal="center" vertical="top" wrapText="1"/>
    </xf>
    <xf numFmtId="3" fontId="13" fillId="0" borderId="0" xfId="41" applyNumberFormat="1" applyFont="1" applyFill="1" applyBorder="1" applyAlignment="1" applyProtection="1">
      <alignment horizontal="center" vertical="top"/>
    </xf>
    <xf numFmtId="3" fontId="19" fillId="0" borderId="0" xfId="41" applyNumberFormat="1" applyFont="1" applyFill="1" applyBorder="1" applyAlignment="1" applyProtection="1">
      <alignment horizontal="center" vertical="center" wrapText="1"/>
    </xf>
    <xf numFmtId="3" fontId="70" fillId="0" borderId="10" xfId="41" applyNumberFormat="1" applyFont="1" applyBorder="1" applyAlignment="1" applyProtection="1">
      <alignment horizontal="center" vertical="center"/>
    </xf>
    <xf numFmtId="3" fontId="70" fillId="0" borderId="27" xfId="41" applyNumberFormat="1" applyFont="1" applyBorder="1" applyAlignment="1" applyProtection="1">
      <alignment horizontal="center" vertical="center"/>
    </xf>
    <xf numFmtId="3" fontId="70" fillId="0" borderId="18" xfId="41" applyNumberFormat="1" applyFont="1" applyBorder="1" applyAlignment="1" applyProtection="1">
      <alignment horizontal="center" vertical="center"/>
    </xf>
    <xf numFmtId="3" fontId="26" fillId="0" borderId="12" xfId="41" applyNumberFormat="1" applyFont="1" applyFill="1" applyBorder="1" applyAlignment="1" applyProtection="1">
      <alignment horizontal="left" vertical="top" wrapText="1"/>
    </xf>
    <xf numFmtId="3" fontId="26" fillId="0" borderId="16" xfId="41" applyNumberFormat="1" applyFont="1" applyFill="1" applyBorder="1" applyAlignment="1" applyProtection="1">
      <alignment horizontal="left" vertical="top" wrapText="1"/>
    </xf>
    <xf numFmtId="0" fontId="6" fillId="0" borderId="45" xfId="41" applyFont="1" applyBorder="1" applyAlignment="1" applyProtection="1">
      <alignment horizontal="left" wrapText="1"/>
    </xf>
    <xf numFmtId="3" fontId="26" fillId="0" borderId="36" xfId="43" applyNumberFormat="1" applyFont="1" applyFill="1" applyBorder="1" applyAlignment="1">
      <alignment horizontal="center" vertical="center"/>
    </xf>
    <xf numFmtId="3" fontId="26" fillId="0" borderId="14" xfId="43" applyNumberFormat="1" applyFont="1" applyFill="1" applyBorder="1" applyAlignment="1">
      <alignment horizontal="center" vertical="center"/>
    </xf>
    <xf numFmtId="3" fontId="26" fillId="0" borderId="16" xfId="43" applyNumberFormat="1" applyFont="1" applyFill="1" applyBorder="1" applyAlignment="1">
      <alignment horizontal="center" vertical="center"/>
    </xf>
    <xf numFmtId="3" fontId="11" fillId="0" borderId="42" xfId="43" applyNumberFormat="1" applyFont="1" applyFill="1" applyBorder="1" applyAlignment="1">
      <alignment horizontal="center" vertical="center" wrapText="1"/>
    </xf>
    <xf numFmtId="3" fontId="11" fillId="0" borderId="46" xfId="43" applyNumberFormat="1" applyFont="1" applyFill="1" applyBorder="1" applyAlignment="1">
      <alignment horizontal="center" vertical="center" wrapText="1"/>
    </xf>
    <xf numFmtId="3" fontId="11" fillId="0" borderId="47" xfId="43" applyNumberFormat="1" applyFont="1" applyFill="1" applyBorder="1" applyAlignment="1">
      <alignment horizontal="center" vertical="center" wrapText="1"/>
    </xf>
    <xf numFmtId="0" fontId="53" fillId="0" borderId="0" xfId="43" applyFont="1" applyBorder="1" applyAlignment="1">
      <alignment horizontal="center" vertical="center" wrapText="1"/>
    </xf>
    <xf numFmtId="3" fontId="26" fillId="0" borderId="10" xfId="41" applyNumberFormat="1" applyFont="1" applyFill="1" applyBorder="1" applyAlignment="1">
      <alignment horizontal="center" vertical="center" wrapText="1"/>
    </xf>
    <xf numFmtId="3" fontId="26" fillId="0" borderId="27" xfId="41" applyNumberFormat="1" applyFont="1" applyFill="1" applyBorder="1" applyAlignment="1">
      <alignment horizontal="center" vertical="center" wrapText="1"/>
    </xf>
    <xf numFmtId="3" fontId="26" fillId="0" borderId="18" xfId="41" applyNumberFormat="1" applyFont="1" applyFill="1" applyBorder="1" applyAlignment="1">
      <alignment horizontal="center" vertical="center" wrapText="1"/>
    </xf>
    <xf numFmtId="3" fontId="26" fillId="0" borderId="45" xfId="41" applyNumberFormat="1" applyFont="1" applyFill="1" applyBorder="1" applyAlignment="1">
      <alignment horizontal="center" vertical="center" wrapText="1"/>
    </xf>
    <xf numFmtId="3" fontId="26" fillId="0" borderId="31" xfId="43" applyNumberFormat="1" applyFont="1" applyFill="1" applyBorder="1" applyAlignment="1">
      <alignment horizontal="center" vertical="center"/>
    </xf>
    <xf numFmtId="3" fontId="26" fillId="0" borderId="48" xfId="43" applyNumberFormat="1" applyFont="1" applyFill="1" applyBorder="1" applyAlignment="1">
      <alignment horizontal="center" vertical="center"/>
    </xf>
    <xf numFmtId="3" fontId="26" fillId="0" borderId="49" xfId="43" applyNumberFormat="1" applyFont="1" applyFill="1" applyBorder="1" applyAlignment="1">
      <alignment horizontal="center" vertical="center"/>
    </xf>
    <xf numFmtId="0" fontId="17" fillId="0" borderId="50" xfId="44" applyFont="1" applyBorder="1" applyAlignment="1">
      <alignment horizontal="center" vertical="top"/>
    </xf>
    <xf numFmtId="3" fontId="16" fillId="0" borderId="10" xfId="41" applyNumberFormat="1" applyFont="1" applyFill="1" applyBorder="1" applyAlignment="1">
      <alignment horizontal="center" vertical="center" wrapText="1"/>
    </xf>
    <xf numFmtId="0" fontId="16" fillId="0" borderId="27" xfId="41" applyFont="1" applyFill="1" applyBorder="1" applyAlignment="1">
      <alignment horizontal="center" vertical="center" wrapText="1"/>
    </xf>
    <xf numFmtId="0" fontId="16" fillId="0" borderId="18" xfId="41" applyFont="1" applyFill="1" applyBorder="1" applyAlignment="1">
      <alignment horizontal="center" vertical="center" wrapText="1"/>
    </xf>
  </cellXfs>
  <cellStyles count="50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40% - 1. jelölőszín" xfId="7" builtinId="31" customBuiltin="1"/>
    <cellStyle name="40% - 2. jelölőszín" xfId="8" builtinId="35" customBuiltin="1"/>
    <cellStyle name="40% - 3. jelölőszín" xfId="9" builtinId="39" customBuiltin="1"/>
    <cellStyle name="40% - 4. jelölőszín" xfId="10" builtinId="43" customBuiltin="1"/>
    <cellStyle name="40% - 5. jelölőszín" xfId="11" builtinId="47" customBuiltin="1"/>
    <cellStyle name="40% - 6. jelölőszín" xfId="12" builtinId="51" customBuiltin="1"/>
    <cellStyle name="60% - 1. jelölőszín" xfId="13" builtinId="32" customBuiltin="1"/>
    <cellStyle name="60% - 2. jelölőszín" xfId="14" builtinId="36" customBuiltin="1"/>
    <cellStyle name="60% - 3. jelölőszín" xfId="15" builtinId="40" customBuiltin="1"/>
    <cellStyle name="60% - 4. jelölőszín" xfId="16" builtinId="44" customBuiltin="1"/>
    <cellStyle name="60% - 5. jelölőszín" xfId="17" builtinId="48" customBuiltin="1"/>
    <cellStyle name="60% - 6. jelölőszín" xfId="18" builtinId="52" customBuiltin="1"/>
    <cellStyle name="Bevitel" xfId="19" builtinId="20" customBuiltin="1"/>
    <cellStyle name="Cím" xfId="20" builtinId="15" customBuiltin="1"/>
    <cellStyle name="Címsor 1" xfId="21" builtinId="16" customBuiltin="1"/>
    <cellStyle name="Címsor 2" xfId="22" builtinId="17" customBuiltin="1"/>
    <cellStyle name="Címsor 3" xfId="23" builtinId="18" customBuiltin="1"/>
    <cellStyle name="Címsor 4" xfId="24" builtinId="19" customBuiltin="1"/>
    <cellStyle name="Ellenőrzőcella" xfId="25" builtinId="23" customBuiltin="1"/>
    <cellStyle name="Ezres" xfId="26" builtinId="3"/>
    <cellStyle name="Figyelmeztetés" xfId="27" builtinId="11" customBuiltin="1"/>
    <cellStyle name="Hiperhivatkozás" xfId="28"/>
    <cellStyle name="Hivatkozott cella" xfId="29" builtinId="24" customBuiltin="1"/>
    <cellStyle name="Jegyzet" xfId="30" builtinId="10" customBuiltin="1"/>
    <cellStyle name="Jelölőszín (1)" xfId="31" builtinId="29" customBuiltin="1"/>
    <cellStyle name="Jelölőszín (2)" xfId="32" builtinId="33" customBuiltin="1"/>
    <cellStyle name="Jelölőszín (3)" xfId="33" builtinId="37" customBuiltin="1"/>
    <cellStyle name="Jelölőszín (4)" xfId="34" builtinId="41" customBuiltin="1"/>
    <cellStyle name="Jelölőszín (5)" xfId="35" builtinId="45" customBuiltin="1"/>
    <cellStyle name="Jelölőszín (6)" xfId="36" builtinId="49" customBuiltin="1"/>
    <cellStyle name="Jó" xfId="37" builtinId="26" customBuiltin="1"/>
    <cellStyle name="Kimenet" xfId="38" builtinId="21" customBuiltin="1"/>
    <cellStyle name="Magyarázó szöveg" xfId="39" builtinId="53" customBuiltin="1"/>
    <cellStyle name="Már látott hiperhivatkozás" xfId="40"/>
    <cellStyle name="Normál" xfId="0" builtinId="0"/>
    <cellStyle name="Normál_FKOLTSVE" xfId="41"/>
    <cellStyle name="Normál_Költség" xfId="42"/>
    <cellStyle name="Normál_Költségvetési kiírás 191-B " xfId="43"/>
    <cellStyle name="Normál_U-7 Költségvetések_Csaba" xfId="44"/>
    <cellStyle name="Összesen" xfId="45" builtinId="25" customBuiltin="1"/>
    <cellStyle name="Rossz" xfId="46" builtinId="27" customBuiltin="1"/>
    <cellStyle name="Semleges" xfId="47" builtinId="28" customBuiltin="1"/>
    <cellStyle name="Számítás" xfId="48" builtinId="22" customBuiltin="1"/>
    <cellStyle name="Százalék" xfId="49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4133850</xdr:colOff>
      <xdr:row>0</xdr:row>
      <xdr:rowOff>76200</xdr:rowOff>
    </xdr:from>
    <xdr:to>
      <xdr:col>2</xdr:col>
      <xdr:colOff>104775</xdr:colOff>
      <xdr:row>0</xdr:row>
      <xdr:rowOff>419100</xdr:rowOff>
    </xdr:to>
    <xdr:pic>
      <xdr:nvPicPr>
        <xdr:cNvPr id="4097" name="Picture 1" descr="D:\IRODA\Közlekedésfejlesztés Kft\logo.bmp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33850" y="76200"/>
          <a:ext cx="857250" cy="342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view="pageBreakPreview" zoomScale="60" zoomScaleNormal="100" workbookViewId="0">
      <selection activeCell="A12" sqref="A12:C12"/>
    </sheetView>
  </sheetViews>
  <sheetFormatPr defaultRowHeight="12.75"/>
  <cols>
    <col min="1" max="1" width="64.140625" customWidth="1"/>
    <col min="3" max="3" width="13.42578125" customWidth="1"/>
    <col min="6" max="6" width="4.85546875" customWidth="1"/>
  </cols>
  <sheetData>
    <row r="1" spans="1:3" ht="41.25" customHeight="1"/>
    <row r="2" spans="1:3" ht="12" customHeight="1">
      <c r="A2" s="27"/>
      <c r="B2" s="27" t="s">
        <v>37</v>
      </c>
    </row>
    <row r="3" spans="1:3" ht="12" customHeight="1">
      <c r="A3" s="27"/>
      <c r="B3" s="27" t="s">
        <v>38</v>
      </c>
    </row>
    <row r="4" spans="1:3" ht="12" customHeight="1" thickBot="1">
      <c r="A4" s="28"/>
      <c r="B4" s="28" t="s">
        <v>133</v>
      </c>
      <c r="C4" s="29"/>
    </row>
    <row r="5" spans="1:3" ht="45" customHeight="1" thickTop="1">
      <c r="A5" s="271"/>
      <c r="B5" s="271"/>
      <c r="C5" s="271"/>
    </row>
    <row r="6" spans="1:3" ht="38.25" customHeight="1">
      <c r="A6" s="272" t="s">
        <v>0</v>
      </c>
      <c r="B6" s="272"/>
      <c r="C6" s="272"/>
    </row>
    <row r="7" spans="1:3" ht="23.25" customHeight="1">
      <c r="A7" s="272"/>
      <c r="B7" s="272"/>
      <c r="C7" s="272"/>
    </row>
    <row r="8" spans="1:3" ht="78.75" customHeight="1">
      <c r="A8" s="274" t="s">
        <v>56</v>
      </c>
      <c r="B8" s="275"/>
      <c r="C8" s="275"/>
    </row>
    <row r="9" spans="1:3" ht="18.75" customHeight="1">
      <c r="A9" s="273"/>
      <c r="B9" s="273"/>
      <c r="C9" s="273"/>
    </row>
    <row r="10" spans="1:3" ht="49.5" customHeight="1">
      <c r="A10" s="279"/>
      <c r="B10" s="279"/>
      <c r="C10" s="279"/>
    </row>
    <row r="11" spans="1:3" ht="18.75" customHeight="1">
      <c r="A11" s="273" t="s">
        <v>36</v>
      </c>
      <c r="B11" s="273"/>
      <c r="C11" s="273"/>
    </row>
    <row r="12" spans="1:3" ht="76.5" customHeight="1">
      <c r="A12" s="278"/>
      <c r="B12" s="278"/>
      <c r="C12" s="278"/>
    </row>
    <row r="13" spans="1:3" ht="60.75" customHeight="1">
      <c r="A13" s="280" t="s">
        <v>43</v>
      </c>
      <c r="B13" s="280"/>
      <c r="C13" s="280"/>
    </row>
    <row r="14" spans="1:3" ht="234">
      <c r="A14" s="277"/>
      <c r="B14" s="277"/>
      <c r="C14" s="277"/>
    </row>
    <row r="15" spans="1:3" ht="15">
      <c r="A15" s="276" t="s">
        <v>134</v>
      </c>
      <c r="B15" s="276"/>
      <c r="C15" s="276"/>
    </row>
  </sheetData>
  <sheetProtection password="D74F" sheet="1" objects="1" scenarios="1"/>
  <mergeCells count="11">
    <mergeCell ref="A15:C15"/>
    <mergeCell ref="A14:C14"/>
    <mergeCell ref="A12:C12"/>
    <mergeCell ref="A10:C10"/>
    <mergeCell ref="A13:C13"/>
    <mergeCell ref="A5:C5"/>
    <mergeCell ref="A7:C7"/>
    <mergeCell ref="A9:C9"/>
    <mergeCell ref="A11:C11"/>
    <mergeCell ref="A6:C6"/>
    <mergeCell ref="A8:C8"/>
  </mergeCells>
  <phoneticPr fontId="0" type="noConversion"/>
  <pageMargins left="0.75" right="0.75" top="0.6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5"/>
  <sheetViews>
    <sheetView view="pageBreakPreview" zoomScale="80" zoomScaleNormal="75" zoomScaleSheetLayoutView="80" workbookViewId="0">
      <pane ySplit="7" topLeftCell="A20" activePane="bottomLeft" state="frozen"/>
      <selection pane="bottomLeft" activeCell="I22" sqref="I22"/>
    </sheetView>
  </sheetViews>
  <sheetFormatPr defaultRowHeight="12.75"/>
  <cols>
    <col min="1" max="1" width="7.85546875" style="54" customWidth="1"/>
    <col min="2" max="2" width="49.42578125" style="54" customWidth="1"/>
    <col min="3" max="6" width="11.85546875" style="54" customWidth="1"/>
    <col min="7" max="7" width="10.5703125" style="54" bestFit="1" customWidth="1"/>
    <col min="8" max="8" width="7.7109375" style="54" customWidth="1"/>
    <col min="9" max="9" width="10.28515625" style="57" bestFit="1" customWidth="1"/>
    <col min="10" max="10" width="9.28515625" style="57" bestFit="1" customWidth="1"/>
    <col min="11" max="13" width="9.140625" style="57"/>
    <col min="14" max="16384" width="9.140625" style="14"/>
  </cols>
  <sheetData>
    <row r="1" spans="1:13" ht="19.5" customHeight="1">
      <c r="A1" s="284" t="s">
        <v>31</v>
      </c>
      <c r="B1" s="284"/>
      <c r="C1" s="284"/>
      <c r="D1" s="284"/>
      <c r="E1" s="284"/>
      <c r="F1" s="284"/>
      <c r="G1" s="284"/>
      <c r="H1" s="284"/>
      <c r="L1" s="58"/>
    </row>
    <row r="2" spans="1:13" ht="16.5" customHeight="1">
      <c r="A2" s="287" t="s">
        <v>1</v>
      </c>
      <c r="B2" s="287"/>
      <c r="C2" s="287"/>
      <c r="D2" s="287"/>
      <c r="E2" s="287"/>
      <c r="F2" s="287"/>
      <c r="G2" s="287"/>
      <c r="H2" s="287"/>
      <c r="L2" s="58"/>
    </row>
    <row r="3" spans="1:13" ht="46.5" customHeight="1">
      <c r="A3" s="283" t="str">
        <f>Előlap!A8</f>
        <v>Székesfehérvár
Arany János utca és a kapcsolódó terei burkolatfelújítása
Kiviteli tervéhez</v>
      </c>
      <c r="B3" s="283"/>
      <c r="C3" s="283"/>
      <c r="D3" s="283"/>
      <c r="E3" s="283"/>
      <c r="F3" s="283"/>
      <c r="G3" s="283"/>
      <c r="H3" s="283"/>
      <c r="L3" s="59"/>
    </row>
    <row r="4" spans="1:13" ht="48.75" customHeight="1" thickBot="1">
      <c r="A4" s="12"/>
      <c r="B4" s="288" t="s">
        <v>139</v>
      </c>
      <c r="C4" s="288"/>
      <c r="D4" s="288"/>
      <c r="E4" s="288"/>
      <c r="F4" s="288"/>
      <c r="G4" s="288"/>
      <c r="H4" s="288"/>
      <c r="L4" s="59"/>
    </row>
    <row r="5" spans="1:13" ht="25.5" customHeight="1">
      <c r="A5" s="285" t="s">
        <v>25</v>
      </c>
      <c r="B5" s="285" t="s">
        <v>29</v>
      </c>
      <c r="C5" s="285" t="s">
        <v>54</v>
      </c>
      <c r="D5" s="285" t="s">
        <v>136</v>
      </c>
      <c r="E5" s="285" t="s">
        <v>137</v>
      </c>
      <c r="F5" s="281" t="s">
        <v>135</v>
      </c>
      <c r="G5" s="285" t="s">
        <v>42</v>
      </c>
      <c r="H5" s="285" t="s">
        <v>26</v>
      </c>
      <c r="L5" s="59"/>
    </row>
    <row r="6" spans="1:13" ht="25.5" customHeight="1">
      <c r="A6" s="286"/>
      <c r="B6" s="286"/>
      <c r="C6" s="286"/>
      <c r="D6" s="286"/>
      <c r="E6" s="286"/>
      <c r="F6" s="282"/>
      <c r="G6" s="286"/>
      <c r="H6" s="286"/>
      <c r="L6" s="59"/>
    </row>
    <row r="7" spans="1:13" ht="20.25" thickBot="1">
      <c r="A7" s="286"/>
      <c r="B7" s="286"/>
      <c r="C7" s="286"/>
      <c r="D7" s="286"/>
      <c r="E7" s="286"/>
      <c r="F7" s="282"/>
      <c r="G7" s="286"/>
      <c r="H7" s="286"/>
      <c r="L7" s="59"/>
    </row>
    <row r="8" spans="1:13" s="252" customFormat="1" ht="27.75" customHeight="1">
      <c r="A8" s="258">
        <v>1</v>
      </c>
      <c r="B8" s="240" t="s">
        <v>159</v>
      </c>
      <c r="C8" s="241">
        <f>115-30</f>
        <v>85</v>
      </c>
      <c r="D8" s="241"/>
      <c r="E8" s="241"/>
      <c r="F8" s="241"/>
      <c r="G8" s="242">
        <f t="shared" ref="G8:G16" si="0">SUM(C8:F8)</f>
        <v>85</v>
      </c>
      <c r="H8" s="259" t="s">
        <v>17</v>
      </c>
      <c r="I8" s="250"/>
      <c r="J8" s="250"/>
      <c r="K8" s="250"/>
      <c r="L8" s="251"/>
      <c r="M8" s="250"/>
    </row>
    <row r="9" spans="1:13" s="252" customFormat="1" ht="27.75" customHeight="1">
      <c r="A9" s="243">
        <v>2</v>
      </c>
      <c r="B9" s="229" t="s">
        <v>125</v>
      </c>
      <c r="C9" s="230"/>
      <c r="D9" s="230">
        <f>452+60</f>
        <v>512</v>
      </c>
      <c r="E9" s="230">
        <v>438</v>
      </c>
      <c r="F9" s="230">
        <v>101</v>
      </c>
      <c r="G9" s="231">
        <f t="shared" si="0"/>
        <v>1051</v>
      </c>
      <c r="H9" s="260" t="s">
        <v>17</v>
      </c>
      <c r="I9" s="250"/>
      <c r="J9" s="250"/>
      <c r="K9" s="250"/>
      <c r="L9" s="251"/>
      <c r="M9" s="250"/>
    </row>
    <row r="10" spans="1:13" s="252" customFormat="1" ht="27.75" customHeight="1">
      <c r="A10" s="243">
        <v>3</v>
      </c>
      <c r="B10" s="229" t="s">
        <v>138</v>
      </c>
      <c r="C10" s="230"/>
      <c r="D10" s="230">
        <f>4.5+18+5.9</f>
        <v>28.4</v>
      </c>
      <c r="E10" s="230">
        <v>0</v>
      </c>
      <c r="F10" s="230">
        <f>13.7+1.7</f>
        <v>15.399999999999999</v>
      </c>
      <c r="G10" s="231">
        <f t="shared" si="0"/>
        <v>43.8</v>
      </c>
      <c r="H10" s="260" t="s">
        <v>17</v>
      </c>
      <c r="I10" s="250"/>
      <c r="J10" s="250"/>
      <c r="K10" s="250"/>
      <c r="L10" s="251"/>
      <c r="M10" s="250"/>
    </row>
    <row r="11" spans="1:13" s="252" customFormat="1" ht="27.75" customHeight="1">
      <c r="A11" s="243">
        <v>4</v>
      </c>
      <c r="B11" s="229" t="s">
        <v>123</v>
      </c>
      <c r="C11" s="230">
        <v>0</v>
      </c>
      <c r="D11" s="230"/>
      <c r="E11" s="230"/>
      <c r="F11" s="230"/>
      <c r="G11" s="231">
        <f t="shared" si="0"/>
        <v>0</v>
      </c>
      <c r="H11" s="260" t="s">
        <v>17</v>
      </c>
      <c r="I11" s="250"/>
      <c r="J11" s="250"/>
      <c r="K11" s="250"/>
      <c r="L11" s="251"/>
      <c r="M11" s="250"/>
    </row>
    <row r="12" spans="1:13" s="252" customFormat="1" ht="27.75" customHeight="1">
      <c r="A12" s="243">
        <v>5</v>
      </c>
      <c r="B12" s="229" t="s">
        <v>124</v>
      </c>
      <c r="C12" s="230">
        <v>57</v>
      </c>
      <c r="D12" s="230"/>
      <c r="E12" s="230"/>
      <c r="F12" s="230"/>
      <c r="G12" s="231">
        <f t="shared" si="0"/>
        <v>57</v>
      </c>
      <c r="H12" s="260" t="s">
        <v>17</v>
      </c>
      <c r="I12" s="250"/>
      <c r="J12" s="250"/>
      <c r="K12" s="250"/>
      <c r="L12" s="251"/>
      <c r="M12" s="250"/>
    </row>
    <row r="13" spans="1:13" s="252" customFormat="1" ht="27.75" customHeight="1">
      <c r="A13" s="243">
        <v>6</v>
      </c>
      <c r="B13" s="229" t="s">
        <v>126</v>
      </c>
      <c r="C13" s="230">
        <v>0</v>
      </c>
      <c r="D13" s="230"/>
      <c r="E13" s="230"/>
      <c r="F13" s="230"/>
      <c r="G13" s="231">
        <f t="shared" si="0"/>
        <v>0</v>
      </c>
      <c r="H13" s="260" t="s">
        <v>15</v>
      </c>
      <c r="I13" s="250"/>
      <c r="J13" s="250"/>
      <c r="K13" s="250"/>
      <c r="L13" s="251"/>
      <c r="M13" s="250"/>
    </row>
    <row r="14" spans="1:13" s="252" customFormat="1" ht="27.75" customHeight="1">
      <c r="A14" s="243">
        <v>7</v>
      </c>
      <c r="B14" s="229" t="s">
        <v>110</v>
      </c>
      <c r="C14" s="230">
        <v>52</v>
      </c>
      <c r="D14" s="230">
        <v>0</v>
      </c>
      <c r="E14" s="230">
        <v>0</v>
      </c>
      <c r="F14" s="230"/>
      <c r="G14" s="231">
        <f t="shared" si="0"/>
        <v>52</v>
      </c>
      <c r="H14" s="260" t="s">
        <v>15</v>
      </c>
      <c r="I14" s="250"/>
      <c r="J14" s="250"/>
      <c r="K14" s="250"/>
      <c r="L14" s="251"/>
      <c r="M14" s="250"/>
    </row>
    <row r="15" spans="1:13" s="252" customFormat="1" ht="27.75" customHeight="1">
      <c r="A15" s="243">
        <v>8</v>
      </c>
      <c r="B15" s="229" t="s">
        <v>111</v>
      </c>
      <c r="C15" s="230">
        <v>21</v>
      </c>
      <c r="D15" s="230"/>
      <c r="E15" s="230"/>
      <c r="F15" s="230"/>
      <c r="G15" s="231">
        <f t="shared" si="0"/>
        <v>21</v>
      </c>
      <c r="H15" s="260" t="s">
        <v>15</v>
      </c>
      <c r="I15" s="250"/>
      <c r="J15" s="250"/>
      <c r="K15" s="250"/>
      <c r="L15" s="251"/>
      <c r="M15" s="250"/>
    </row>
    <row r="16" spans="1:13" s="252" customFormat="1" ht="27.75" customHeight="1">
      <c r="A16" s="243">
        <v>9</v>
      </c>
      <c r="B16" s="229" t="s">
        <v>53</v>
      </c>
      <c r="C16" s="230">
        <v>3</v>
      </c>
      <c r="D16" s="230"/>
      <c r="E16" s="230"/>
      <c r="F16" s="230"/>
      <c r="G16" s="233">
        <f t="shared" si="0"/>
        <v>3</v>
      </c>
      <c r="H16" s="260" t="s">
        <v>13</v>
      </c>
      <c r="I16" s="250"/>
      <c r="J16" s="250"/>
      <c r="K16" s="250"/>
      <c r="L16" s="251"/>
      <c r="M16" s="250"/>
    </row>
    <row r="17" spans="1:15" s="252" customFormat="1" ht="27.75" customHeight="1">
      <c r="A17" s="243">
        <v>10</v>
      </c>
      <c r="B17" s="229"/>
      <c r="C17" s="230"/>
      <c r="D17" s="230"/>
      <c r="E17" s="230"/>
      <c r="F17" s="230"/>
      <c r="G17" s="233"/>
      <c r="H17" s="260"/>
      <c r="I17" s="250"/>
      <c r="J17" s="250"/>
      <c r="K17" s="250"/>
      <c r="L17" s="251"/>
      <c r="M17" s="250"/>
    </row>
    <row r="18" spans="1:15" s="255" customFormat="1" ht="27.75" customHeight="1">
      <c r="A18" s="244">
        <v>11</v>
      </c>
      <c r="B18" s="234" t="s">
        <v>130</v>
      </c>
      <c r="C18" s="235">
        <v>1268</v>
      </c>
      <c r="D18" s="235"/>
      <c r="E18" s="235"/>
      <c r="F18" s="235"/>
      <c r="G18" s="236">
        <f>SUM(C18:F18)</f>
        <v>1268</v>
      </c>
      <c r="H18" s="261" t="s">
        <v>17</v>
      </c>
      <c r="I18" s="253"/>
      <c r="J18" s="253"/>
      <c r="K18" s="253"/>
      <c r="L18" s="254"/>
      <c r="M18" s="253"/>
    </row>
    <row r="19" spans="1:15" s="252" customFormat="1" ht="27.75" customHeight="1">
      <c r="A19" s="243">
        <v>12</v>
      </c>
      <c r="B19" s="229"/>
      <c r="C19" s="230"/>
      <c r="D19" s="230"/>
      <c r="E19" s="230"/>
      <c r="F19" s="230"/>
      <c r="G19" s="231"/>
      <c r="H19" s="260"/>
      <c r="I19" s="250"/>
      <c r="J19" s="250"/>
      <c r="K19" s="250"/>
      <c r="L19" s="256"/>
      <c r="M19" s="250"/>
      <c r="O19" s="269"/>
    </row>
    <row r="20" spans="1:15" s="255" customFormat="1" ht="27.75" customHeight="1">
      <c r="A20" s="244">
        <v>13</v>
      </c>
      <c r="B20" s="234" t="s">
        <v>129</v>
      </c>
      <c r="C20" s="235">
        <v>142</v>
      </c>
      <c r="D20" s="235"/>
      <c r="E20" s="235"/>
      <c r="F20" s="235"/>
      <c r="G20" s="236">
        <f>SUM(C20:F20)</f>
        <v>142</v>
      </c>
      <c r="H20" s="261" t="s">
        <v>17</v>
      </c>
      <c r="I20" s="253"/>
      <c r="J20" s="253"/>
      <c r="K20" s="253"/>
      <c r="L20" s="254"/>
      <c r="M20" s="253"/>
    </row>
    <row r="21" spans="1:15" s="255" customFormat="1" ht="27.75" customHeight="1">
      <c r="A21" s="244">
        <v>14</v>
      </c>
      <c r="B21" s="234" t="s">
        <v>140</v>
      </c>
      <c r="C21" s="235">
        <v>0</v>
      </c>
      <c r="D21" s="235">
        <v>0</v>
      </c>
      <c r="E21" s="235"/>
      <c r="F21" s="235">
        <f>F9</f>
        <v>101</v>
      </c>
      <c r="G21" s="236">
        <f>SUM(C21:F21)</f>
        <v>101</v>
      </c>
      <c r="H21" s="261" t="s">
        <v>17</v>
      </c>
      <c r="I21" s="253"/>
      <c r="J21" s="253"/>
      <c r="K21" s="253"/>
      <c r="L21" s="254"/>
      <c r="M21" s="253"/>
    </row>
    <row r="22" spans="1:15" s="255" customFormat="1" ht="27.75" customHeight="1">
      <c r="A22" s="244">
        <v>15</v>
      </c>
      <c r="B22" s="234" t="s">
        <v>141</v>
      </c>
      <c r="C22" s="235">
        <f>16+7</f>
        <v>23</v>
      </c>
      <c r="D22" s="235"/>
      <c r="E22" s="235"/>
      <c r="F22" s="235"/>
      <c r="G22" s="236">
        <f>SUM(C22:F22)</f>
        <v>23</v>
      </c>
      <c r="H22" s="261" t="s">
        <v>17</v>
      </c>
      <c r="I22" s="253"/>
      <c r="J22" s="253"/>
      <c r="K22" s="253"/>
      <c r="L22" s="254"/>
      <c r="M22" s="253"/>
    </row>
    <row r="23" spans="1:15" s="255" customFormat="1" ht="27.75" customHeight="1">
      <c r="A23" s="244">
        <v>16</v>
      </c>
      <c r="B23" s="234" t="s">
        <v>142</v>
      </c>
      <c r="C23" s="235">
        <f>367+197+115</f>
        <v>679</v>
      </c>
      <c r="D23" s="235">
        <f>D9</f>
        <v>512</v>
      </c>
      <c r="E23" s="235">
        <f>E9</f>
        <v>438</v>
      </c>
      <c r="F23" s="235"/>
      <c r="G23" s="236">
        <f>SUM(C23:F23)</f>
        <v>1629</v>
      </c>
      <c r="H23" s="261" t="s">
        <v>17</v>
      </c>
      <c r="I23" s="270">
        <f>SUM(G18,G20,G21,G22,G23)</f>
        <v>3163</v>
      </c>
      <c r="J23" s="253"/>
      <c r="K23" s="253"/>
      <c r="L23" s="254"/>
      <c r="M23" s="253"/>
    </row>
    <row r="24" spans="1:15" s="252" customFormat="1" ht="27.75" customHeight="1">
      <c r="A24" s="243">
        <v>17</v>
      </c>
      <c r="B24" s="229"/>
      <c r="C24" s="230"/>
      <c r="D24" s="230"/>
      <c r="E24" s="230"/>
      <c r="F24" s="230"/>
      <c r="G24" s="231"/>
      <c r="H24" s="260"/>
      <c r="I24" s="250"/>
      <c r="J24" s="250"/>
      <c r="K24" s="250"/>
      <c r="L24" s="250"/>
      <c r="M24" s="250"/>
    </row>
    <row r="25" spans="1:15" s="252" customFormat="1" ht="27.75" customHeight="1">
      <c r="A25" s="243">
        <v>18</v>
      </c>
      <c r="B25" s="229"/>
      <c r="C25" s="230"/>
      <c r="D25" s="230"/>
      <c r="E25" s="230"/>
      <c r="F25" s="230"/>
      <c r="G25" s="231"/>
      <c r="H25" s="260"/>
      <c r="I25" s="250"/>
      <c r="J25" s="250"/>
      <c r="K25" s="250"/>
      <c r="L25" s="250"/>
      <c r="M25" s="250"/>
    </row>
    <row r="26" spans="1:15" s="252" customFormat="1" ht="27.75" customHeight="1">
      <c r="A26" s="243">
        <v>19</v>
      </c>
      <c r="B26" s="229"/>
      <c r="C26" s="230"/>
      <c r="D26" s="230"/>
      <c r="E26" s="230"/>
      <c r="F26" s="230"/>
      <c r="G26" s="231"/>
      <c r="H26" s="260"/>
      <c r="I26" s="250"/>
      <c r="J26" s="250"/>
      <c r="K26" s="250"/>
      <c r="L26" s="250"/>
      <c r="M26" s="250"/>
    </row>
    <row r="27" spans="1:15" s="252" customFormat="1" ht="27.75" customHeight="1">
      <c r="A27" s="243">
        <v>20</v>
      </c>
      <c r="B27" s="229"/>
      <c r="C27" s="230"/>
      <c r="D27" s="230"/>
      <c r="E27" s="230"/>
      <c r="F27" s="230"/>
      <c r="G27" s="231"/>
      <c r="H27" s="260"/>
      <c r="I27" s="250"/>
      <c r="J27" s="250"/>
      <c r="K27" s="250"/>
      <c r="L27" s="250"/>
      <c r="M27" s="250"/>
    </row>
    <row r="28" spans="1:15" s="252" customFormat="1" ht="27.75" customHeight="1">
      <c r="A28" s="243">
        <v>21</v>
      </c>
      <c r="B28" s="229"/>
      <c r="C28" s="238"/>
      <c r="D28" s="238"/>
      <c r="E28" s="238"/>
      <c r="F28" s="238"/>
      <c r="G28" s="233"/>
      <c r="H28" s="260"/>
      <c r="I28" s="250"/>
      <c r="J28" s="250"/>
      <c r="K28" s="250"/>
      <c r="L28" s="250"/>
      <c r="M28" s="250"/>
    </row>
    <row r="29" spans="1:15" s="252" customFormat="1" ht="27.75" customHeight="1">
      <c r="A29" s="243">
        <v>22</v>
      </c>
      <c r="B29" s="229"/>
      <c r="C29" s="238"/>
      <c r="D29" s="238"/>
      <c r="E29" s="238"/>
      <c r="F29" s="238"/>
      <c r="G29" s="231"/>
      <c r="H29" s="260"/>
      <c r="I29" s="250"/>
      <c r="J29" s="250"/>
      <c r="K29" s="250"/>
      <c r="L29" s="250"/>
      <c r="M29" s="250"/>
    </row>
    <row r="30" spans="1:15" s="252" customFormat="1" ht="27.75" customHeight="1">
      <c r="A30" s="243">
        <v>23</v>
      </c>
      <c r="B30" s="232" t="s">
        <v>112</v>
      </c>
      <c r="C30" s="238">
        <v>8</v>
      </c>
      <c r="D30" s="238">
        <v>0</v>
      </c>
      <c r="E30" s="238"/>
      <c r="F30" s="238"/>
      <c r="G30" s="233">
        <f>SUM(C30:F30)</f>
        <v>8</v>
      </c>
      <c r="H30" s="262" t="s">
        <v>13</v>
      </c>
      <c r="I30" s="250"/>
      <c r="J30" s="250"/>
      <c r="K30" s="250"/>
      <c r="L30" s="250"/>
      <c r="M30" s="250"/>
    </row>
    <row r="31" spans="1:15" s="252" customFormat="1" ht="27.75" customHeight="1">
      <c r="A31" s="243">
        <v>24</v>
      </c>
      <c r="B31" s="229"/>
      <c r="C31" s="230"/>
      <c r="D31" s="230"/>
      <c r="E31" s="230"/>
      <c r="F31" s="230"/>
      <c r="G31" s="233"/>
      <c r="H31" s="260"/>
      <c r="I31" s="250"/>
      <c r="J31" s="250"/>
      <c r="K31" s="250"/>
      <c r="L31" s="251"/>
      <c r="M31" s="250"/>
    </row>
    <row r="32" spans="1:15" s="252" customFormat="1" ht="27.75" customHeight="1">
      <c r="A32" s="243">
        <v>25</v>
      </c>
      <c r="B32" s="232" t="s">
        <v>143</v>
      </c>
      <c r="C32" s="238">
        <v>2</v>
      </c>
      <c r="D32" s="238"/>
      <c r="E32" s="238"/>
      <c r="F32" s="238"/>
      <c r="G32" s="233">
        <f>SUM(C32:F32)</f>
        <v>2</v>
      </c>
      <c r="H32" s="262" t="s">
        <v>13</v>
      </c>
      <c r="I32" s="250"/>
      <c r="J32" s="250"/>
      <c r="K32" s="250"/>
      <c r="L32" s="250"/>
      <c r="M32" s="250"/>
    </row>
    <row r="33" spans="1:13" s="252" customFormat="1" ht="27.75" customHeight="1">
      <c r="A33" s="243">
        <v>26</v>
      </c>
      <c r="B33" s="232" t="s">
        <v>144</v>
      </c>
      <c r="C33" s="238">
        <v>1</v>
      </c>
      <c r="D33" s="238"/>
      <c r="E33" s="238"/>
      <c r="F33" s="238"/>
      <c r="G33" s="233">
        <f>SUM(C33:F33)</f>
        <v>1</v>
      </c>
      <c r="H33" s="262" t="s">
        <v>13</v>
      </c>
      <c r="I33" s="250"/>
      <c r="J33" s="250"/>
      <c r="K33" s="250"/>
      <c r="L33" s="250"/>
      <c r="M33" s="250"/>
    </row>
    <row r="34" spans="1:13" s="252" customFormat="1" ht="27.75" customHeight="1">
      <c r="A34" s="243">
        <v>27</v>
      </c>
      <c r="B34" s="232" t="s">
        <v>145</v>
      </c>
      <c r="C34" s="238">
        <v>1</v>
      </c>
      <c r="D34" s="238"/>
      <c r="E34" s="238"/>
      <c r="F34" s="238"/>
      <c r="G34" s="233">
        <f>SUM(C34:F34)</f>
        <v>1</v>
      </c>
      <c r="H34" s="262" t="s">
        <v>13</v>
      </c>
      <c r="I34" s="250"/>
      <c r="J34" s="250"/>
      <c r="K34" s="250"/>
      <c r="L34" s="250"/>
      <c r="M34" s="250"/>
    </row>
    <row r="35" spans="1:13" s="252" customFormat="1" ht="27.75" customHeight="1">
      <c r="A35" s="243">
        <v>28</v>
      </c>
      <c r="B35" s="232"/>
      <c r="C35" s="238"/>
      <c r="D35" s="238"/>
      <c r="E35" s="238"/>
      <c r="F35" s="238"/>
      <c r="G35" s="231"/>
      <c r="H35" s="262"/>
      <c r="I35" s="250"/>
      <c r="J35" s="250"/>
      <c r="K35" s="250"/>
      <c r="L35" s="250"/>
      <c r="M35" s="250"/>
    </row>
    <row r="36" spans="1:13" s="252" customFormat="1" ht="27.75" customHeight="1">
      <c r="A36" s="243">
        <v>29</v>
      </c>
      <c r="B36" s="232" t="s">
        <v>113</v>
      </c>
      <c r="C36" s="238">
        <v>16</v>
      </c>
      <c r="D36" s="238">
        <v>2</v>
      </c>
      <c r="E36" s="238">
        <v>2</v>
      </c>
      <c r="F36" s="238"/>
      <c r="G36" s="233">
        <f>SUM(C36:F36)</f>
        <v>20</v>
      </c>
      <c r="H36" s="262" t="s">
        <v>13</v>
      </c>
      <c r="I36" s="250"/>
      <c r="J36" s="250"/>
      <c r="K36" s="250"/>
      <c r="L36" s="250"/>
      <c r="M36" s="250"/>
    </row>
    <row r="37" spans="1:13" s="252" customFormat="1" ht="27.75" customHeight="1">
      <c r="A37" s="243">
        <v>30</v>
      </c>
      <c r="B37" s="232"/>
      <c r="C37" s="238"/>
      <c r="D37" s="238"/>
      <c r="E37" s="238"/>
      <c r="F37" s="238"/>
      <c r="G37" s="233"/>
      <c r="H37" s="262"/>
      <c r="I37" s="250"/>
      <c r="J37" s="250"/>
      <c r="K37" s="250"/>
      <c r="L37" s="250"/>
      <c r="M37" s="250"/>
    </row>
    <row r="38" spans="1:13" s="252" customFormat="1" ht="27.75" customHeight="1">
      <c r="A38" s="243">
        <v>31</v>
      </c>
      <c r="B38" s="232" t="s">
        <v>114</v>
      </c>
      <c r="C38" s="238">
        <v>14</v>
      </c>
      <c r="D38" s="238"/>
      <c r="E38" s="238"/>
      <c r="F38" s="238"/>
      <c r="G38" s="233">
        <f t="shared" ref="G38:G43" si="1">SUM(C38:F38)</f>
        <v>14</v>
      </c>
      <c r="H38" s="262" t="s">
        <v>13</v>
      </c>
      <c r="I38" s="250"/>
      <c r="J38" s="250"/>
      <c r="K38" s="250"/>
      <c r="L38" s="250"/>
      <c r="M38" s="250"/>
    </row>
    <row r="39" spans="1:13" s="252" customFormat="1" ht="27.75" customHeight="1">
      <c r="A39" s="243">
        <v>32</v>
      </c>
      <c r="B39" s="232" t="s">
        <v>115</v>
      </c>
      <c r="C39" s="238">
        <v>19</v>
      </c>
      <c r="D39" s="238"/>
      <c r="E39" s="238"/>
      <c r="F39" s="238"/>
      <c r="G39" s="233">
        <f t="shared" si="1"/>
        <v>19</v>
      </c>
      <c r="H39" s="262" t="s">
        <v>13</v>
      </c>
      <c r="I39" s="250"/>
      <c r="J39" s="250"/>
      <c r="K39" s="250"/>
      <c r="L39" s="250"/>
      <c r="M39" s="250"/>
    </row>
    <row r="40" spans="1:13" s="252" customFormat="1" ht="27.75" customHeight="1">
      <c r="A40" s="243">
        <v>33</v>
      </c>
      <c r="B40" s="232" t="s">
        <v>116</v>
      </c>
      <c r="C40" s="238">
        <v>5</v>
      </c>
      <c r="D40" s="238"/>
      <c r="E40" s="238"/>
      <c r="F40" s="238">
        <v>6</v>
      </c>
      <c r="G40" s="233">
        <f t="shared" si="1"/>
        <v>11</v>
      </c>
      <c r="H40" s="262" t="s">
        <v>13</v>
      </c>
      <c r="I40" s="250"/>
      <c r="J40" s="250"/>
      <c r="K40" s="250"/>
      <c r="L40" s="250"/>
      <c r="M40" s="250"/>
    </row>
    <row r="41" spans="1:13" s="252" customFormat="1" ht="27.75" customHeight="1">
      <c r="A41" s="243">
        <v>34</v>
      </c>
      <c r="B41" s="232" t="s">
        <v>117</v>
      </c>
      <c r="C41" s="238">
        <v>10</v>
      </c>
      <c r="D41" s="238"/>
      <c r="E41" s="238"/>
      <c r="F41" s="238">
        <v>4</v>
      </c>
      <c r="G41" s="233">
        <f t="shared" si="1"/>
        <v>14</v>
      </c>
      <c r="H41" s="262" t="s">
        <v>13</v>
      </c>
      <c r="I41" s="250"/>
      <c r="J41" s="250"/>
      <c r="K41" s="250"/>
      <c r="L41" s="250"/>
      <c r="M41" s="250"/>
    </row>
    <row r="42" spans="1:13" s="252" customFormat="1" ht="27.75" customHeight="1">
      <c r="A42" s="243">
        <v>35</v>
      </c>
      <c r="B42" s="232" t="s">
        <v>118</v>
      </c>
      <c r="C42" s="238">
        <v>4</v>
      </c>
      <c r="D42" s="238"/>
      <c r="E42" s="238"/>
      <c r="F42" s="238"/>
      <c r="G42" s="233">
        <f t="shared" si="1"/>
        <v>4</v>
      </c>
      <c r="H42" s="262" t="s">
        <v>13</v>
      </c>
      <c r="I42" s="250"/>
      <c r="J42" s="250"/>
      <c r="K42" s="250"/>
      <c r="L42" s="250"/>
      <c r="M42" s="250"/>
    </row>
    <row r="43" spans="1:13" s="255" customFormat="1" ht="27.75" customHeight="1">
      <c r="A43" s="244">
        <v>36</v>
      </c>
      <c r="B43" s="237" t="s">
        <v>57</v>
      </c>
      <c r="C43" s="239">
        <f>6+7+10+8+6</f>
        <v>37</v>
      </c>
      <c r="D43" s="239">
        <f>40+4.8+9</f>
        <v>53.8</v>
      </c>
      <c r="E43" s="239">
        <f>16+17</f>
        <v>33</v>
      </c>
      <c r="F43" s="239">
        <f>6.6+14</f>
        <v>20.6</v>
      </c>
      <c r="G43" s="236">
        <f t="shared" si="1"/>
        <v>144.4</v>
      </c>
      <c r="H43" s="263" t="s">
        <v>60</v>
      </c>
      <c r="I43" s="253"/>
      <c r="J43" s="253"/>
      <c r="K43" s="253"/>
      <c r="L43" s="253"/>
      <c r="M43" s="253"/>
    </row>
    <row r="44" spans="1:13" s="255" customFormat="1" ht="27.75" customHeight="1">
      <c r="A44" s="244">
        <v>37</v>
      </c>
      <c r="B44" s="237" t="s">
        <v>58</v>
      </c>
      <c r="C44" s="239"/>
      <c r="D44" s="239"/>
      <c r="E44" s="239"/>
      <c r="F44" s="239"/>
      <c r="G44" s="236">
        <v>586</v>
      </c>
      <c r="H44" s="263" t="s">
        <v>60</v>
      </c>
      <c r="I44" s="253"/>
      <c r="J44" s="253"/>
      <c r="K44" s="253"/>
      <c r="L44" s="253"/>
      <c r="M44" s="253"/>
    </row>
    <row r="45" spans="1:13" s="255" customFormat="1" ht="27.75" customHeight="1">
      <c r="A45" s="244">
        <v>38</v>
      </c>
      <c r="B45" s="237" t="s">
        <v>59</v>
      </c>
      <c r="C45" s="239"/>
      <c r="D45" s="239"/>
      <c r="E45" s="239"/>
      <c r="F45" s="239"/>
      <c r="G45" s="236">
        <f>1100-G44</f>
        <v>514</v>
      </c>
      <c r="H45" s="263" t="s">
        <v>60</v>
      </c>
      <c r="I45" s="253"/>
      <c r="J45" s="253"/>
      <c r="K45" s="253"/>
      <c r="L45" s="253"/>
      <c r="M45" s="253"/>
    </row>
    <row r="46" spans="1:13" s="255" customFormat="1" ht="27.75" customHeight="1">
      <c r="A46" s="244">
        <v>39</v>
      </c>
      <c r="B46" s="237" t="s">
        <v>92</v>
      </c>
      <c r="C46" s="239">
        <f>115/0.5</f>
        <v>230</v>
      </c>
      <c r="D46" s="239">
        <v>40</v>
      </c>
      <c r="E46" s="239">
        <f>16+17</f>
        <v>33</v>
      </c>
      <c r="F46" s="239">
        <f>F43</f>
        <v>20.6</v>
      </c>
      <c r="G46" s="236">
        <f t="shared" ref="G46:G51" si="2">SUM(C46:F46)</f>
        <v>323.60000000000002</v>
      </c>
      <c r="H46" s="263" t="s">
        <v>60</v>
      </c>
      <c r="I46" s="253"/>
      <c r="J46" s="253"/>
      <c r="K46" s="253"/>
      <c r="L46" s="253"/>
      <c r="M46" s="253"/>
    </row>
    <row r="47" spans="1:13" s="252" customFormat="1" ht="27.75" customHeight="1">
      <c r="A47" s="243">
        <v>40</v>
      </c>
      <c r="B47" s="232" t="s">
        <v>119</v>
      </c>
      <c r="C47" s="238"/>
      <c r="D47" s="230">
        <f>0.2+3.9+1.3</f>
        <v>5.3999999999999995</v>
      </c>
      <c r="E47" s="238"/>
      <c r="F47" s="230">
        <f>3+0.4</f>
        <v>3.4</v>
      </c>
      <c r="G47" s="231">
        <f t="shared" si="2"/>
        <v>8.7999999999999989</v>
      </c>
      <c r="H47" s="262" t="s">
        <v>16</v>
      </c>
      <c r="I47" s="250"/>
      <c r="J47" s="250"/>
      <c r="K47" s="250"/>
      <c r="L47" s="250"/>
      <c r="M47" s="250"/>
    </row>
    <row r="48" spans="1:13" s="252" customFormat="1" ht="27.75" customHeight="1">
      <c r="A48" s="243">
        <v>41</v>
      </c>
      <c r="B48" s="232" t="s">
        <v>120</v>
      </c>
      <c r="C48" s="238"/>
      <c r="D48" s="230">
        <f>1.8+1.7+3.4</f>
        <v>6.9</v>
      </c>
      <c r="E48" s="238"/>
      <c r="F48" s="230">
        <f>3+0.4</f>
        <v>3.4</v>
      </c>
      <c r="G48" s="231">
        <f t="shared" si="2"/>
        <v>10.3</v>
      </c>
      <c r="H48" s="262" t="s">
        <v>16</v>
      </c>
      <c r="I48" s="250"/>
      <c r="J48" s="250"/>
      <c r="K48" s="250"/>
      <c r="L48" s="250"/>
      <c r="M48" s="250"/>
    </row>
    <row r="49" spans="1:13" s="255" customFormat="1" ht="27.75" customHeight="1">
      <c r="A49" s="244">
        <v>42</v>
      </c>
      <c r="B49" s="237" t="s">
        <v>121</v>
      </c>
      <c r="C49" s="239"/>
      <c r="D49" s="235">
        <f>0.1+1.8+0.1</f>
        <v>2</v>
      </c>
      <c r="E49" s="239"/>
      <c r="F49" s="235">
        <f>0.4+0.2</f>
        <v>0.60000000000000009</v>
      </c>
      <c r="G49" s="236">
        <f t="shared" si="2"/>
        <v>2.6</v>
      </c>
      <c r="H49" s="263" t="s">
        <v>16</v>
      </c>
      <c r="I49" s="253"/>
      <c r="J49" s="253"/>
      <c r="K49" s="253"/>
      <c r="L49" s="253"/>
      <c r="M49" s="253"/>
    </row>
    <row r="50" spans="1:13" s="255" customFormat="1" ht="27.75" customHeight="1">
      <c r="A50" s="244">
        <v>43</v>
      </c>
      <c r="B50" s="237" t="s">
        <v>122</v>
      </c>
      <c r="C50" s="239"/>
      <c r="D50" s="235">
        <f>0.1+1.3+0.9</f>
        <v>2.3000000000000003</v>
      </c>
      <c r="E50" s="239"/>
      <c r="F50" s="235">
        <f>2+0.1</f>
        <v>2.1</v>
      </c>
      <c r="G50" s="236">
        <f t="shared" si="2"/>
        <v>4.4000000000000004</v>
      </c>
      <c r="H50" s="263" t="s">
        <v>16</v>
      </c>
      <c r="I50" s="253"/>
      <c r="J50" s="253"/>
      <c r="K50" s="253"/>
      <c r="L50" s="253"/>
      <c r="M50" s="253"/>
    </row>
    <row r="51" spans="1:13" s="255" customFormat="1" ht="27.75" customHeight="1" thickBot="1">
      <c r="A51" s="245">
        <v>44</v>
      </c>
      <c r="B51" s="246" t="s">
        <v>127</v>
      </c>
      <c r="C51" s="247"/>
      <c r="D51" s="248">
        <f>2.7+56.3+18.5</f>
        <v>77.5</v>
      </c>
      <c r="E51" s="247"/>
      <c r="F51" s="248">
        <f>42.9+4.8</f>
        <v>47.699999999999996</v>
      </c>
      <c r="G51" s="249">
        <f t="shared" si="2"/>
        <v>125.19999999999999</v>
      </c>
      <c r="H51" s="264" t="s">
        <v>60</v>
      </c>
      <c r="I51" s="253"/>
      <c r="J51" s="253"/>
      <c r="K51" s="253"/>
      <c r="L51" s="253"/>
      <c r="M51" s="253"/>
    </row>
    <row r="52" spans="1:13" s="252" customFormat="1" ht="27.75" customHeight="1">
      <c r="A52" s="257"/>
      <c r="B52" s="257"/>
      <c r="C52" s="257"/>
      <c r="D52" s="257"/>
      <c r="E52" s="257"/>
      <c r="F52" s="257"/>
      <c r="G52" s="257"/>
      <c r="H52" s="257"/>
      <c r="I52" s="250"/>
      <c r="J52" s="250"/>
      <c r="K52" s="250"/>
      <c r="L52" s="250"/>
      <c r="M52" s="250"/>
    </row>
    <row r="53" spans="1:13" s="252" customFormat="1" ht="27.75" customHeight="1">
      <c r="A53" s="257"/>
      <c r="B53" s="257"/>
      <c r="C53" s="257"/>
      <c r="D53" s="257"/>
      <c r="E53" s="257"/>
      <c r="F53" s="257"/>
      <c r="G53" s="257"/>
      <c r="H53" s="257"/>
      <c r="I53" s="250"/>
      <c r="J53" s="250"/>
      <c r="K53" s="250"/>
      <c r="L53" s="250"/>
      <c r="M53" s="250"/>
    </row>
    <row r="54" spans="1:13" s="252" customFormat="1" ht="27.75" customHeight="1">
      <c r="A54" s="257"/>
      <c r="B54" s="257"/>
      <c r="C54" s="257"/>
      <c r="D54" s="257"/>
      <c r="E54" s="257"/>
      <c r="F54" s="257"/>
      <c r="G54" s="257"/>
      <c r="H54" s="257"/>
      <c r="I54" s="250"/>
      <c r="J54" s="250"/>
      <c r="K54" s="250"/>
      <c r="L54" s="250"/>
      <c r="M54" s="250"/>
    </row>
    <row r="55" spans="1:13" s="252" customFormat="1" ht="27.75" customHeight="1">
      <c r="A55" s="257"/>
      <c r="B55" s="257"/>
      <c r="C55" s="257"/>
      <c r="D55" s="257"/>
      <c r="E55" s="257"/>
      <c r="F55" s="257"/>
      <c r="G55" s="257"/>
      <c r="H55" s="257"/>
      <c r="I55" s="250"/>
      <c r="J55" s="250"/>
      <c r="K55" s="250"/>
      <c r="L55" s="250"/>
      <c r="M55" s="250"/>
    </row>
  </sheetData>
  <mergeCells count="12">
    <mergeCell ref="F5:F7"/>
    <mergeCell ref="A3:H3"/>
    <mergeCell ref="A1:H1"/>
    <mergeCell ref="A5:A7"/>
    <mergeCell ref="B5:B7"/>
    <mergeCell ref="H5:H7"/>
    <mergeCell ref="A2:H2"/>
    <mergeCell ref="G5:G7"/>
    <mergeCell ref="B4:H4"/>
    <mergeCell ref="C5:C7"/>
    <mergeCell ref="D5:D7"/>
    <mergeCell ref="E5:E7"/>
  </mergeCells>
  <phoneticPr fontId="0" type="noConversion"/>
  <printOptions horizontalCentered="1"/>
  <pageMargins left="0.74803149606299213" right="0.59055118110236227" top="0.82677165354330717" bottom="0.51181102362204722" header="0.51181102362204722" footer="0.51181102362204722"/>
  <pageSetup paperSize="9" scale="50" orientation="portrait" r:id="rId1"/>
  <headerFooter alignWithMargins="0">
    <oddHeader>&amp;L989&amp;CMéret- és mennyiségkimutatás&amp;RKözlekedésfejlesztés Kft.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79"/>
  <sheetViews>
    <sheetView tabSelected="1" view="pageBreakPreview" topLeftCell="A42" zoomScale="120" zoomScaleNormal="75" zoomScaleSheetLayoutView="120" workbookViewId="0">
      <selection activeCell="E66" sqref="E66"/>
    </sheetView>
  </sheetViews>
  <sheetFormatPr defaultRowHeight="15.75"/>
  <cols>
    <col min="1" max="1" width="3.85546875" style="123" customWidth="1"/>
    <col min="2" max="2" width="8.85546875" style="125" customWidth="1"/>
    <col min="3" max="3" width="2" style="125" customWidth="1"/>
    <col min="4" max="4" width="2.85546875" style="167" customWidth="1"/>
    <col min="5" max="5" width="42.140625" style="173" customWidth="1"/>
    <col min="6" max="6" width="4.85546875" style="165" customWidth="1"/>
    <col min="7" max="7" width="9.140625" style="122" bestFit="1"/>
    <col min="8" max="8" width="15.85546875" style="194" hidden="1" customWidth="1"/>
    <col min="9" max="9" width="1.42578125" style="194" hidden="1" customWidth="1"/>
    <col min="10" max="10" width="10.7109375" style="95" customWidth="1"/>
    <col min="11" max="11" width="1.42578125" style="96" customWidth="1"/>
    <col min="12" max="12" width="10.7109375" style="97" customWidth="1"/>
    <col min="13" max="13" width="9.140625" style="123"/>
    <col min="14" max="14" width="12.140625" style="123" customWidth="1"/>
    <col min="15" max="16384" width="9.140625" style="123"/>
  </cols>
  <sheetData>
    <row r="1" spans="1:12" ht="18.75">
      <c r="A1" s="290" t="s">
        <v>0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</row>
    <row r="2" spans="1:12" ht="45.75" customHeight="1">
      <c r="A2" s="124" t="s">
        <v>1</v>
      </c>
      <c r="C2" s="292" t="str">
        <f>'Méret Arany J'!A3</f>
        <v>Székesfehérvár
Arany János utca és a kapcsolódó terei burkolatfelújítása
Kiviteli tervéhez</v>
      </c>
      <c r="D2" s="292"/>
      <c r="E2" s="292"/>
      <c r="F2" s="292"/>
      <c r="G2" s="292"/>
      <c r="H2" s="292"/>
      <c r="I2" s="292"/>
      <c r="J2" s="292"/>
    </row>
    <row r="3" spans="1:12" ht="28.5" customHeight="1" thickBot="1">
      <c r="A3" s="298" t="s">
        <v>214</v>
      </c>
      <c r="B3" s="298"/>
      <c r="C3" s="298"/>
      <c r="D3" s="298"/>
      <c r="E3" s="298"/>
      <c r="F3" s="298"/>
      <c r="G3" s="298"/>
      <c r="H3" s="298"/>
      <c r="I3" s="298"/>
      <c r="J3" s="298"/>
      <c r="K3" s="298"/>
      <c r="L3" s="298"/>
    </row>
    <row r="4" spans="1:12" s="135" customFormat="1" ht="16.5" thickBot="1">
      <c r="A4" s="126" t="s">
        <v>35</v>
      </c>
      <c r="B4" s="126" t="s">
        <v>2</v>
      </c>
      <c r="C4" s="126"/>
      <c r="D4" s="127"/>
      <c r="E4" s="128" t="s">
        <v>3</v>
      </c>
      <c r="F4" s="129" t="s">
        <v>4</v>
      </c>
      <c r="G4" s="130" t="s">
        <v>5</v>
      </c>
      <c r="H4" s="131" t="s">
        <v>6</v>
      </c>
      <c r="I4" s="131" t="s">
        <v>7</v>
      </c>
      <c r="J4" s="132" t="s">
        <v>8</v>
      </c>
      <c r="K4" s="133"/>
      <c r="L4" s="134" t="s">
        <v>28</v>
      </c>
    </row>
    <row r="5" spans="1:12" s="146" customFormat="1" ht="8.25" customHeight="1">
      <c r="A5" s="136"/>
      <c r="B5" s="137"/>
      <c r="C5" s="137"/>
      <c r="D5" s="138"/>
      <c r="E5" s="139"/>
      <c r="F5" s="140"/>
      <c r="G5" s="141"/>
      <c r="H5" s="142"/>
      <c r="I5" s="142"/>
      <c r="J5" s="143"/>
      <c r="K5" s="144"/>
      <c r="L5" s="145"/>
    </row>
    <row r="6" spans="1:12">
      <c r="B6" s="147" t="s">
        <v>9</v>
      </c>
      <c r="C6" s="148"/>
      <c r="D6" s="149"/>
      <c r="E6" s="150"/>
      <c r="F6" s="151"/>
      <c r="G6" s="152"/>
      <c r="H6" s="153"/>
      <c r="I6" s="153"/>
      <c r="J6" s="154" t="s">
        <v>10</v>
      </c>
      <c r="L6" s="155" t="s">
        <v>10</v>
      </c>
    </row>
    <row r="7" spans="1:12" ht="9.75" customHeight="1" thickBot="1">
      <c r="B7" s="156"/>
      <c r="C7" s="156"/>
      <c r="D7" s="157"/>
      <c r="E7" s="158"/>
      <c r="F7" s="159"/>
      <c r="G7" s="152"/>
      <c r="H7" s="153"/>
      <c r="I7" s="153"/>
      <c r="J7" s="154"/>
      <c r="L7" s="155"/>
    </row>
    <row r="8" spans="1:12" ht="16.5" customHeight="1" thickBot="1">
      <c r="A8" s="160">
        <v>1</v>
      </c>
      <c r="B8" s="161"/>
      <c r="C8" s="162"/>
      <c r="D8" s="163"/>
      <c r="E8" s="164" t="s">
        <v>152</v>
      </c>
      <c r="G8" s="225"/>
      <c r="H8" s="166"/>
      <c r="I8" s="166"/>
      <c r="J8" s="92"/>
      <c r="K8" s="93"/>
      <c r="L8" s="94"/>
    </row>
    <row r="9" spans="1:12" ht="12.75">
      <c r="E9" s="168"/>
      <c r="F9" s="165" t="s">
        <v>65</v>
      </c>
      <c r="G9" s="86"/>
      <c r="H9" s="169"/>
      <c r="I9" s="169"/>
    </row>
    <row r="10" spans="1:12" ht="12.75">
      <c r="B10" s="170"/>
      <c r="C10" s="170"/>
      <c r="D10" s="163" t="s">
        <v>11</v>
      </c>
      <c r="E10" s="81"/>
      <c r="G10" s="86"/>
      <c r="H10" s="166" t="e">
        <f>#REF!*E10</f>
        <v>#REF!</v>
      </c>
      <c r="I10" s="166"/>
      <c r="J10" s="98">
        <f>E10*G10</f>
        <v>0</v>
      </c>
      <c r="K10" s="99"/>
      <c r="L10" s="100"/>
    </row>
    <row r="11" spans="1:12" ht="12.75">
      <c r="B11" s="170"/>
      <c r="C11" s="170"/>
      <c r="D11" s="163" t="s">
        <v>12</v>
      </c>
      <c r="E11" s="82"/>
      <c r="G11" s="86"/>
      <c r="H11" s="166"/>
      <c r="I11" s="166" t="e">
        <f>#REF!*E11</f>
        <v>#REF!</v>
      </c>
      <c r="J11" s="101"/>
      <c r="K11" s="99"/>
      <c r="L11" s="102">
        <f>E11*G10</f>
        <v>0</v>
      </c>
    </row>
    <row r="12" spans="1:12" ht="5.25" customHeight="1" thickBot="1">
      <c r="A12" s="172"/>
      <c r="B12" s="162"/>
      <c r="C12" s="162"/>
      <c r="D12" s="163"/>
      <c r="G12" s="86"/>
      <c r="H12" s="174"/>
      <c r="I12" s="174"/>
      <c r="J12" s="92"/>
      <c r="K12" s="93"/>
      <c r="L12" s="103"/>
    </row>
    <row r="13" spans="1:12" ht="16.5" customHeight="1" thickBot="1">
      <c r="A13" s="160">
        <f>1+A8</f>
        <v>2</v>
      </c>
      <c r="B13" s="161"/>
      <c r="C13" s="162"/>
      <c r="D13" s="163"/>
      <c r="E13" s="164" t="s">
        <v>153</v>
      </c>
      <c r="G13" s="226"/>
      <c r="H13" s="166"/>
      <c r="I13" s="166"/>
      <c r="J13" s="92"/>
      <c r="K13" s="93"/>
      <c r="L13" s="104"/>
    </row>
    <row r="14" spans="1:12" ht="13.5" thickBot="1">
      <c r="B14" s="170"/>
      <c r="C14" s="170"/>
      <c r="D14" s="163" t="s">
        <v>12</v>
      </c>
      <c r="E14" s="82"/>
      <c r="F14" s="165" t="s">
        <v>61</v>
      </c>
      <c r="G14" s="87"/>
      <c r="H14" s="166"/>
      <c r="I14" s="166" t="e">
        <f>#REF!*E14</f>
        <v>#REF!</v>
      </c>
      <c r="J14" s="101"/>
      <c r="K14" s="99"/>
      <c r="L14" s="102">
        <f>E14*G13</f>
        <v>0</v>
      </c>
    </row>
    <row r="15" spans="1:12" ht="16.5" customHeight="1" thickBot="1">
      <c r="A15" s="175"/>
      <c r="B15" s="176"/>
      <c r="C15" s="177"/>
      <c r="D15" s="123"/>
      <c r="E15" s="178" t="s">
        <v>46</v>
      </c>
      <c r="F15" s="179" t="s">
        <v>61</v>
      </c>
      <c r="G15" s="227"/>
      <c r="H15" s="180"/>
      <c r="I15" s="80"/>
      <c r="J15" s="105"/>
      <c r="L15" s="96">
        <f>E$14*G15</f>
        <v>0</v>
      </c>
    </row>
    <row r="16" spans="1:12" ht="16.5" customHeight="1" thickBot="1">
      <c r="A16" s="175"/>
      <c r="B16" s="176"/>
      <c r="C16" s="177"/>
      <c r="D16" s="123"/>
      <c r="E16" s="178" t="s">
        <v>45</v>
      </c>
      <c r="F16" s="179" t="s">
        <v>61</v>
      </c>
      <c r="G16" s="227"/>
      <c r="H16" s="180"/>
      <c r="I16" s="80"/>
      <c r="J16" s="105"/>
      <c r="L16" s="96">
        <f t="shared" ref="L16:L20" si="0">E$14*G16</f>
        <v>0</v>
      </c>
    </row>
    <row r="17" spans="1:12" ht="16.5" customHeight="1" thickBot="1">
      <c r="A17" s="175"/>
      <c r="B17" s="176"/>
      <c r="C17" s="177"/>
      <c r="D17" s="123"/>
      <c r="E17" s="178" t="s">
        <v>62</v>
      </c>
      <c r="F17" s="179" t="s">
        <v>61</v>
      </c>
      <c r="G17" s="227"/>
      <c r="H17" s="180"/>
      <c r="I17" s="80"/>
      <c r="J17" s="105"/>
      <c r="L17" s="96">
        <f t="shared" si="0"/>
        <v>0</v>
      </c>
    </row>
    <row r="18" spans="1:12" ht="16.5" customHeight="1" thickBot="1">
      <c r="A18" s="175"/>
      <c r="B18" s="176"/>
      <c r="C18" s="177"/>
      <c r="D18" s="123"/>
      <c r="E18" s="178" t="s">
        <v>44</v>
      </c>
      <c r="F18" s="179" t="s">
        <v>61</v>
      </c>
      <c r="G18" s="227"/>
      <c r="H18" s="180"/>
      <c r="I18" s="80"/>
      <c r="J18" s="105"/>
      <c r="L18" s="96">
        <f t="shared" si="0"/>
        <v>0</v>
      </c>
    </row>
    <row r="19" spans="1:12" ht="16.5" customHeight="1" thickBot="1">
      <c r="A19" s="175"/>
      <c r="B19" s="176"/>
      <c r="C19" s="177"/>
      <c r="D19" s="123"/>
      <c r="E19" s="178" t="s">
        <v>63</v>
      </c>
      <c r="F19" s="179" t="s">
        <v>61</v>
      </c>
      <c r="G19" s="227"/>
      <c r="H19" s="180"/>
      <c r="I19" s="80"/>
      <c r="J19" s="105"/>
      <c r="L19" s="96">
        <f t="shared" si="0"/>
        <v>0</v>
      </c>
    </row>
    <row r="20" spans="1:12" ht="16.5" customHeight="1" thickBot="1">
      <c r="A20" s="175"/>
      <c r="B20" s="176"/>
      <c r="C20" s="177"/>
      <c r="D20" s="123"/>
      <c r="E20" s="178" t="s">
        <v>64</v>
      </c>
      <c r="F20" s="179" t="s">
        <v>61</v>
      </c>
      <c r="G20" s="227"/>
      <c r="H20" s="180"/>
      <c r="I20" s="80"/>
      <c r="J20" s="105"/>
      <c r="L20" s="96">
        <f t="shared" si="0"/>
        <v>0</v>
      </c>
    </row>
    <row r="21" spans="1:12" ht="5.25" customHeight="1">
      <c r="A21" s="172"/>
      <c r="B21" s="162"/>
      <c r="C21" s="162"/>
      <c r="D21" s="181"/>
      <c r="E21" s="182"/>
      <c r="F21" s="183"/>
      <c r="G21" s="88"/>
      <c r="H21" s="174"/>
      <c r="I21" s="93"/>
      <c r="J21" s="92"/>
      <c r="K21" s="93"/>
      <c r="L21" s="103"/>
    </row>
    <row r="22" spans="1:12" ht="13.5" thickBot="1">
      <c r="A22" s="160">
        <f>1+A13</f>
        <v>3</v>
      </c>
      <c r="B22" s="161"/>
      <c r="C22" s="162"/>
      <c r="D22" s="123"/>
      <c r="E22" s="198" t="s">
        <v>154</v>
      </c>
      <c r="F22" s="183"/>
      <c r="G22" s="89"/>
      <c r="H22" s="166"/>
      <c r="I22" s="93"/>
      <c r="J22" s="106"/>
      <c r="K22" s="107"/>
      <c r="L22" s="104"/>
    </row>
    <row r="23" spans="1:12" ht="13.5" thickBot="1">
      <c r="A23" s="172"/>
      <c r="D23" s="184"/>
      <c r="E23" s="265"/>
      <c r="F23" s="183" t="s">
        <v>67</v>
      </c>
      <c r="G23" s="228"/>
      <c r="H23" s="169"/>
      <c r="I23" s="96"/>
      <c r="J23" s="106"/>
      <c r="K23" s="107"/>
      <c r="L23" s="104"/>
    </row>
    <row r="24" spans="1:12" ht="12.75">
      <c r="B24" s="170"/>
      <c r="C24" s="170"/>
      <c r="D24" s="163" t="s">
        <v>11</v>
      </c>
      <c r="E24" s="81"/>
      <c r="G24" s="86"/>
      <c r="H24" s="166" t="e">
        <f>#REF!*E24</f>
        <v>#REF!</v>
      </c>
      <c r="I24" s="166"/>
      <c r="J24" s="98">
        <f>E24*G23</f>
        <v>0</v>
      </c>
      <c r="K24" s="99"/>
      <c r="L24" s="100"/>
    </row>
    <row r="25" spans="1:12" ht="12.75">
      <c r="B25" s="170"/>
      <c r="C25" s="170"/>
      <c r="D25" s="163" t="s">
        <v>12</v>
      </c>
      <c r="E25" s="82"/>
      <c r="G25" s="86"/>
      <c r="H25" s="166"/>
      <c r="I25" s="166" t="e">
        <f>#REF!*E25</f>
        <v>#REF!</v>
      </c>
      <c r="J25" s="101"/>
      <c r="K25" s="99"/>
      <c r="L25" s="102">
        <f>E25*G23</f>
        <v>0</v>
      </c>
    </row>
    <row r="26" spans="1:12" ht="6" customHeight="1">
      <c r="A26" s="172"/>
      <c r="B26" s="162"/>
      <c r="C26" s="162"/>
      <c r="D26" s="163"/>
      <c r="E26" s="168"/>
      <c r="G26" s="86"/>
      <c r="H26" s="166"/>
      <c r="I26" s="166"/>
      <c r="J26" s="92"/>
      <c r="K26" s="93"/>
      <c r="L26" s="94"/>
    </row>
    <row r="27" spans="1:12" ht="13.5" thickBot="1">
      <c r="A27" s="160">
        <f>1+A22</f>
        <v>4</v>
      </c>
      <c r="B27" s="161"/>
      <c r="C27" s="162"/>
      <c r="D27" s="123"/>
      <c r="E27" s="198" t="s">
        <v>155</v>
      </c>
      <c r="F27" s="183"/>
      <c r="G27" s="89"/>
      <c r="H27" s="166"/>
      <c r="I27" s="93"/>
      <c r="J27" s="106"/>
      <c r="K27" s="107"/>
      <c r="L27" s="104"/>
    </row>
    <row r="28" spans="1:12" ht="13.5" thickBot="1">
      <c r="B28" s="170"/>
      <c r="C28" s="170"/>
      <c r="E28" s="265"/>
      <c r="F28" s="183" t="s">
        <v>66</v>
      </c>
      <c r="G28" s="228"/>
      <c r="H28" s="169"/>
      <c r="I28" s="96"/>
      <c r="J28" s="106"/>
      <c r="K28" s="107"/>
      <c r="L28" s="104"/>
    </row>
    <row r="29" spans="1:12" ht="12.75">
      <c r="B29" s="170"/>
      <c r="C29" s="170"/>
      <c r="D29" s="163" t="s">
        <v>11</v>
      </c>
      <c r="E29" s="81"/>
      <c r="G29" s="86"/>
      <c r="H29" s="166" t="e">
        <f>#REF!*E29</f>
        <v>#REF!</v>
      </c>
      <c r="I29" s="166"/>
      <c r="J29" s="98">
        <f>E29*G28</f>
        <v>0</v>
      </c>
      <c r="K29" s="99"/>
      <c r="L29" s="100"/>
    </row>
    <row r="30" spans="1:12" ht="14.25" customHeight="1">
      <c r="A30" s="172"/>
      <c r="B30" s="162"/>
      <c r="C30" s="162"/>
      <c r="D30" s="163" t="s">
        <v>12</v>
      </c>
      <c r="E30" s="82"/>
      <c r="G30" s="86"/>
      <c r="H30" s="166"/>
      <c r="I30" s="166" t="e">
        <f>#REF!*E30</f>
        <v>#REF!</v>
      </c>
      <c r="J30" s="101"/>
      <c r="K30" s="99"/>
      <c r="L30" s="102">
        <f>E30*G28</f>
        <v>0</v>
      </c>
    </row>
    <row r="31" spans="1:12" ht="6.75" customHeight="1">
      <c r="A31" s="172"/>
      <c r="B31" s="162"/>
      <c r="C31" s="162"/>
      <c r="D31" s="162"/>
      <c r="E31" s="162"/>
      <c r="F31" s="162"/>
      <c r="G31" s="86"/>
      <c r="H31" s="166"/>
      <c r="I31" s="166"/>
      <c r="J31" s="101"/>
      <c r="K31" s="99"/>
      <c r="L31" s="108"/>
    </row>
    <row r="32" spans="1:12" ht="12.75">
      <c r="A32" s="160">
        <f>1+A27</f>
        <v>5</v>
      </c>
      <c r="B32" s="161"/>
      <c r="C32" s="162"/>
      <c r="D32" s="123"/>
      <c r="E32" s="198" t="s">
        <v>156</v>
      </c>
      <c r="F32" s="183"/>
      <c r="G32" s="89"/>
      <c r="H32" s="166"/>
      <c r="I32" s="93"/>
      <c r="J32" s="106"/>
      <c r="K32" s="107"/>
      <c r="L32" s="104"/>
    </row>
    <row r="33" spans="1:12" ht="13.5" thickBot="1">
      <c r="A33" s="172"/>
      <c r="D33" s="123"/>
      <c r="E33" s="168" t="s">
        <v>41</v>
      </c>
      <c r="F33" s="183"/>
      <c r="G33" s="90"/>
      <c r="H33" s="169"/>
      <c r="I33" s="96"/>
      <c r="J33" s="106"/>
      <c r="K33" s="107"/>
      <c r="L33" s="104">
        <f>F33*J33</f>
        <v>0</v>
      </c>
    </row>
    <row r="34" spans="1:12" ht="13.5" thickBot="1">
      <c r="B34" s="170"/>
      <c r="C34" s="170"/>
      <c r="D34" s="163"/>
      <c r="E34" s="265"/>
      <c r="F34" s="183" t="s">
        <v>13</v>
      </c>
      <c r="G34" s="228"/>
      <c r="H34" s="169"/>
      <c r="I34" s="96"/>
      <c r="J34" s="106"/>
      <c r="K34" s="107"/>
      <c r="L34" s="104"/>
    </row>
    <row r="35" spans="1:12" ht="12.75">
      <c r="B35" s="170"/>
      <c r="C35" s="170"/>
      <c r="D35" s="163" t="s">
        <v>11</v>
      </c>
      <c r="E35" s="81"/>
      <c r="G35" s="86"/>
      <c r="H35" s="166" t="e">
        <f>#REF!*E35</f>
        <v>#REF!</v>
      </c>
      <c r="I35" s="166"/>
      <c r="J35" s="98">
        <f>E35*G34</f>
        <v>0</v>
      </c>
      <c r="K35" s="99"/>
      <c r="L35" s="100"/>
    </row>
    <row r="36" spans="1:12" ht="11.25" customHeight="1">
      <c r="A36" s="172"/>
      <c r="B36" s="162"/>
      <c r="C36" s="162"/>
      <c r="D36" s="163" t="s">
        <v>12</v>
      </c>
      <c r="E36" s="82"/>
      <c r="G36" s="86"/>
      <c r="H36" s="166"/>
      <c r="I36" s="166" t="e">
        <f>#REF!*E36</f>
        <v>#REF!</v>
      </c>
      <c r="J36" s="101"/>
      <c r="K36" s="99"/>
      <c r="L36" s="102">
        <f>E36*G34</f>
        <v>0</v>
      </c>
    </row>
    <row r="37" spans="1:12" ht="11.25" customHeight="1">
      <c r="A37" s="172"/>
      <c r="B37" s="162"/>
      <c r="C37" s="162"/>
      <c r="D37" s="163"/>
      <c r="E37" s="266"/>
      <c r="F37" s="163"/>
      <c r="G37" s="86"/>
      <c r="H37" s="166"/>
      <c r="I37" s="166"/>
      <c r="J37" s="101"/>
      <c r="K37" s="99"/>
      <c r="L37" s="108"/>
    </row>
    <row r="38" spans="1:12" ht="26.25" thickBot="1">
      <c r="A38" s="160">
        <f>1+A32</f>
        <v>6</v>
      </c>
      <c r="B38" s="161"/>
      <c r="C38" s="162"/>
      <c r="D38" s="163"/>
      <c r="E38" s="198" t="s">
        <v>157</v>
      </c>
      <c r="G38" s="86"/>
      <c r="H38" s="166"/>
      <c r="I38" s="166"/>
      <c r="J38" s="106"/>
      <c r="K38" s="107"/>
      <c r="L38" s="104"/>
    </row>
    <row r="39" spans="1:12" ht="13.5" thickBot="1">
      <c r="E39" s="265"/>
      <c r="F39" s="183" t="s">
        <v>66</v>
      </c>
      <c r="G39" s="228"/>
      <c r="H39" s="169"/>
      <c r="I39" s="96"/>
      <c r="J39" s="106"/>
      <c r="K39" s="107"/>
      <c r="L39" s="104"/>
    </row>
    <row r="40" spans="1:12" ht="12.75">
      <c r="B40" s="170"/>
      <c r="C40" s="170"/>
      <c r="D40" s="163" t="s">
        <v>11</v>
      </c>
      <c r="E40" s="81"/>
      <c r="G40" s="86"/>
      <c r="H40" s="166" t="e">
        <f>#REF!*E40</f>
        <v>#REF!</v>
      </c>
      <c r="I40" s="166"/>
      <c r="J40" s="98">
        <f>E40*G39</f>
        <v>0</v>
      </c>
      <c r="K40" s="99"/>
      <c r="L40" s="100"/>
    </row>
    <row r="41" spans="1:12" ht="12.75">
      <c r="B41" s="170"/>
      <c r="C41" s="170"/>
      <c r="D41" s="163" t="s">
        <v>12</v>
      </c>
      <c r="E41" s="82"/>
      <c r="G41" s="86"/>
      <c r="H41" s="166"/>
      <c r="I41" s="166" t="e">
        <f>#REF!*E41</f>
        <v>#REF!</v>
      </c>
      <c r="J41" s="101"/>
      <c r="K41" s="99"/>
      <c r="L41" s="102">
        <f>E41*G39</f>
        <v>0</v>
      </c>
    </row>
    <row r="42" spans="1:12" ht="6" customHeight="1">
      <c r="A42" s="172"/>
      <c r="B42" s="162"/>
      <c r="C42" s="162"/>
      <c r="D42" s="163"/>
      <c r="E42" s="266"/>
      <c r="F42" s="163"/>
      <c r="G42" s="86"/>
      <c r="H42" s="166"/>
      <c r="I42" s="166"/>
      <c r="J42" s="101"/>
      <c r="K42" s="99"/>
      <c r="L42" s="108"/>
    </row>
    <row r="43" spans="1:12">
      <c r="B43" s="185" t="s">
        <v>9</v>
      </c>
      <c r="C43" s="186"/>
      <c r="D43" s="149"/>
      <c r="E43" s="267"/>
      <c r="F43" s="151"/>
      <c r="G43" s="91"/>
      <c r="H43" s="187" t="e">
        <f>SUM(#REF!)</f>
        <v>#REF!</v>
      </c>
      <c r="I43" s="188" t="e">
        <f>SUM(#REF!)</f>
        <v>#REF!</v>
      </c>
      <c r="J43" s="109">
        <f>SUM(J8:J41)</f>
        <v>0</v>
      </c>
      <c r="L43" s="109">
        <f>SUM(L8:L41)</f>
        <v>0</v>
      </c>
    </row>
    <row r="44" spans="1:12" ht="12" customHeight="1">
      <c r="B44" s="156"/>
      <c r="C44" s="156"/>
      <c r="D44" s="157"/>
      <c r="E44" s="200"/>
      <c r="F44" s="159"/>
      <c r="G44" s="91"/>
      <c r="H44" s="153"/>
      <c r="I44" s="153"/>
    </row>
    <row r="45" spans="1:12" ht="16.5" customHeight="1">
      <c r="B45" s="147" t="s">
        <v>14</v>
      </c>
      <c r="C45" s="148"/>
      <c r="D45" s="149"/>
      <c r="E45" s="267"/>
      <c r="F45" s="189"/>
      <c r="G45" s="91"/>
      <c r="H45" s="153"/>
      <c r="I45" s="153"/>
    </row>
    <row r="46" spans="1:12" ht="14.25" customHeight="1">
      <c r="B46" s="156"/>
      <c r="C46" s="156"/>
      <c r="D46" s="157"/>
      <c r="E46" s="200"/>
      <c r="F46" s="190"/>
      <c r="G46" s="91"/>
      <c r="H46" s="153"/>
      <c r="I46" s="153"/>
    </row>
    <row r="47" spans="1:12" ht="12.75">
      <c r="A47" s="191">
        <v>1</v>
      </c>
      <c r="B47" s="192"/>
      <c r="C47" s="192"/>
      <c r="E47" s="198" t="s">
        <v>158</v>
      </c>
      <c r="G47" s="212"/>
      <c r="H47" s="193"/>
      <c r="I47" s="193"/>
    </row>
    <row r="48" spans="1:12" ht="12.75">
      <c r="E48" s="168" t="s">
        <v>68</v>
      </c>
      <c r="F48" s="165" t="s">
        <v>16</v>
      </c>
      <c r="G48" s="212">
        <f>'Méret Arany J'!G8*0.5</f>
        <v>42.5</v>
      </c>
      <c r="H48" s="169"/>
      <c r="I48" s="169"/>
    </row>
    <row r="49" spans="1:12" ht="12.75">
      <c r="B49" s="170"/>
      <c r="C49" s="170"/>
      <c r="D49" s="163" t="s">
        <v>11</v>
      </c>
      <c r="E49" s="81"/>
      <c r="G49" s="212"/>
      <c r="H49" s="166" t="e">
        <f>#REF!*E49</f>
        <v>#REF!</v>
      </c>
      <c r="I49" s="166"/>
      <c r="J49" s="98">
        <f>E49*G48</f>
        <v>0</v>
      </c>
      <c r="K49" s="99"/>
      <c r="L49" s="100"/>
    </row>
    <row r="50" spans="1:12" ht="12.75">
      <c r="B50" s="170"/>
      <c r="C50" s="170"/>
      <c r="D50" s="163" t="s">
        <v>12</v>
      </c>
      <c r="E50" s="82"/>
      <c r="G50" s="212"/>
      <c r="H50" s="166"/>
      <c r="I50" s="166" t="e">
        <f>#REF!*E50</f>
        <v>#REF!</v>
      </c>
      <c r="J50" s="101"/>
      <c r="K50" s="99"/>
      <c r="L50" s="102">
        <f>E50*G48</f>
        <v>0</v>
      </c>
    </row>
    <row r="51" spans="1:12" ht="6" customHeight="1">
      <c r="A51" s="172"/>
      <c r="B51" s="156"/>
      <c r="C51" s="156"/>
      <c r="D51" s="157"/>
      <c r="E51" s="200"/>
      <c r="F51" s="159"/>
      <c r="G51" s="212"/>
    </row>
    <row r="52" spans="1:12" ht="12.75">
      <c r="A52" s="191">
        <f>1+A47</f>
        <v>2</v>
      </c>
      <c r="B52" s="192"/>
      <c r="C52" s="192"/>
      <c r="E52" s="198" t="s">
        <v>125</v>
      </c>
      <c r="G52" s="212"/>
      <c r="H52" s="193"/>
      <c r="I52" s="193"/>
    </row>
    <row r="53" spans="1:12" ht="12.75">
      <c r="E53" s="168" t="s">
        <v>69</v>
      </c>
      <c r="F53" s="165" t="s">
        <v>17</v>
      </c>
      <c r="G53" s="212">
        <f>'Méret Arany J'!G9</f>
        <v>1051</v>
      </c>
      <c r="H53" s="169"/>
      <c r="I53" s="169"/>
    </row>
    <row r="54" spans="1:12" ht="12.75">
      <c r="B54" s="170"/>
      <c r="C54" s="170"/>
      <c r="D54" s="163" t="s">
        <v>11</v>
      </c>
      <c r="E54" s="81"/>
      <c r="G54" s="212"/>
      <c r="H54" s="166" t="e">
        <f>#REF!*E54</f>
        <v>#REF!</v>
      </c>
      <c r="I54" s="166"/>
      <c r="J54" s="98">
        <f>E54*G53</f>
        <v>0</v>
      </c>
      <c r="K54" s="99"/>
      <c r="L54" s="100"/>
    </row>
    <row r="55" spans="1:12" ht="12.75">
      <c r="B55" s="170"/>
      <c r="C55" s="170"/>
      <c r="D55" s="163" t="s">
        <v>12</v>
      </c>
      <c r="E55" s="82"/>
      <c r="G55" s="212"/>
      <c r="H55" s="166"/>
      <c r="I55" s="166" t="e">
        <f>#REF!*E55</f>
        <v>#REF!</v>
      </c>
      <c r="J55" s="101"/>
      <c r="K55" s="99"/>
      <c r="L55" s="102">
        <f>E55*G53</f>
        <v>0</v>
      </c>
    </row>
    <row r="56" spans="1:12" ht="6" customHeight="1">
      <c r="A56" s="172"/>
      <c r="B56" s="156"/>
      <c r="C56" s="156"/>
      <c r="D56" s="157"/>
      <c r="E56" s="200"/>
      <c r="F56" s="159"/>
      <c r="G56" s="212"/>
    </row>
    <row r="57" spans="1:12" ht="12.75">
      <c r="A57" s="191">
        <f>1+A52</f>
        <v>3</v>
      </c>
      <c r="B57" s="192"/>
      <c r="C57" s="192"/>
      <c r="E57" s="198" t="s">
        <v>138</v>
      </c>
      <c r="G57" s="212"/>
      <c r="H57" s="193"/>
      <c r="I57" s="193"/>
    </row>
    <row r="58" spans="1:12" ht="12.75">
      <c r="E58" s="168" t="s">
        <v>70</v>
      </c>
      <c r="F58" s="165" t="s">
        <v>16</v>
      </c>
      <c r="G58" s="212">
        <f>'Méret Arany J'!G10*(0.14+0.2)</f>
        <v>14.891999999999999</v>
      </c>
      <c r="H58" s="169"/>
      <c r="I58" s="169"/>
    </row>
    <row r="59" spans="1:12" ht="12.75">
      <c r="B59" s="170"/>
      <c r="C59" s="170"/>
      <c r="D59" s="163" t="s">
        <v>11</v>
      </c>
      <c r="E59" s="81"/>
      <c r="G59" s="212"/>
      <c r="H59" s="166" t="e">
        <f>#REF!*E59</f>
        <v>#REF!</v>
      </c>
      <c r="I59" s="166"/>
      <c r="J59" s="98">
        <f>E59*G58</f>
        <v>0</v>
      </c>
      <c r="K59" s="99"/>
      <c r="L59" s="100"/>
    </row>
    <row r="60" spans="1:12" ht="12.75">
      <c r="B60" s="170"/>
      <c r="C60" s="170"/>
      <c r="D60" s="163" t="s">
        <v>12</v>
      </c>
      <c r="E60" s="82"/>
      <c r="G60" s="212"/>
      <c r="H60" s="166"/>
      <c r="I60" s="166" t="e">
        <f>#REF!*E60</f>
        <v>#REF!</v>
      </c>
      <c r="J60" s="101"/>
      <c r="K60" s="99"/>
      <c r="L60" s="102">
        <f>E60*G58</f>
        <v>0</v>
      </c>
    </row>
    <row r="61" spans="1:12" ht="6" customHeight="1">
      <c r="A61" s="172"/>
      <c r="B61" s="156"/>
      <c r="C61" s="156"/>
      <c r="D61" s="157"/>
      <c r="E61" s="200"/>
      <c r="F61" s="159"/>
      <c r="G61" s="212"/>
    </row>
    <row r="62" spans="1:12" ht="12.75">
      <c r="A62" s="191">
        <f>1+A57</f>
        <v>4</v>
      </c>
      <c r="B62" s="192"/>
      <c r="C62" s="192"/>
      <c r="E62" s="198" t="s">
        <v>160</v>
      </c>
      <c r="G62" s="212"/>
      <c r="H62" s="193"/>
      <c r="I62" s="193"/>
    </row>
    <row r="63" spans="1:12" ht="12.75">
      <c r="E63" s="168" t="s">
        <v>72</v>
      </c>
      <c r="F63" s="165" t="s">
        <v>16</v>
      </c>
      <c r="G63" s="212">
        <f>'Méret Arany J'!G10*0.14*0.63</f>
        <v>3.8631600000000006</v>
      </c>
      <c r="H63" s="169"/>
      <c r="I63" s="169"/>
    </row>
    <row r="64" spans="1:12" ht="12.75">
      <c r="B64" s="170"/>
      <c r="C64" s="170"/>
      <c r="D64" s="163" t="s">
        <v>11</v>
      </c>
      <c r="E64" s="81"/>
      <c r="G64" s="212"/>
      <c r="H64" s="166" t="e">
        <f>#REF!*E64</f>
        <v>#REF!</v>
      </c>
      <c r="I64" s="166"/>
      <c r="J64" s="98">
        <f>E64*G63</f>
        <v>0</v>
      </c>
      <c r="K64" s="99"/>
      <c r="L64" s="100"/>
    </row>
    <row r="65" spans="1:12" ht="12.75">
      <c r="B65" s="170"/>
      <c r="C65" s="170"/>
      <c r="D65" s="163" t="s">
        <v>12</v>
      </c>
      <c r="E65" s="82"/>
      <c r="G65" s="212"/>
      <c r="H65" s="166"/>
      <c r="I65" s="166" t="e">
        <f>#REF!*E65</f>
        <v>#REF!</v>
      </c>
      <c r="J65" s="101"/>
      <c r="K65" s="99"/>
      <c r="L65" s="102">
        <f>E65*G63</f>
        <v>0</v>
      </c>
    </row>
    <row r="66" spans="1:12" ht="6" customHeight="1">
      <c r="A66" s="172"/>
      <c r="B66" s="156"/>
      <c r="C66" s="156"/>
      <c r="D66" s="157"/>
      <c r="E66" s="200"/>
      <c r="F66" s="159"/>
      <c r="G66" s="212"/>
    </row>
    <row r="67" spans="1:12" ht="12.75">
      <c r="A67" s="191">
        <f>1+A62</f>
        <v>5</v>
      </c>
      <c r="B67" s="192"/>
      <c r="C67" s="192"/>
      <c r="E67" s="198" t="s">
        <v>161</v>
      </c>
      <c r="G67" s="212"/>
      <c r="H67" s="193"/>
      <c r="I67" s="193"/>
    </row>
    <row r="68" spans="1:12" ht="12.75">
      <c r="E68" s="168" t="s">
        <v>71</v>
      </c>
      <c r="F68" s="165" t="s">
        <v>16</v>
      </c>
      <c r="G68" s="212">
        <f>'Méret Arany J'!G10*0.2*0.63</f>
        <v>5.5187999999999997</v>
      </c>
      <c r="H68" s="169"/>
      <c r="I68" s="169"/>
    </row>
    <row r="69" spans="1:12" ht="12.75">
      <c r="B69" s="170"/>
      <c r="C69" s="170"/>
      <c r="D69" s="163" t="s">
        <v>11</v>
      </c>
      <c r="E69" s="81"/>
      <c r="G69" s="212"/>
      <c r="H69" s="166" t="e">
        <f>#REF!*E69</f>
        <v>#REF!</v>
      </c>
      <c r="I69" s="166"/>
      <c r="J69" s="98">
        <f>E69*G68</f>
        <v>0</v>
      </c>
      <c r="K69" s="99"/>
      <c r="L69" s="100"/>
    </row>
    <row r="70" spans="1:12" ht="12.75">
      <c r="B70" s="170"/>
      <c r="C70" s="170"/>
      <c r="D70" s="163" t="s">
        <v>12</v>
      </c>
      <c r="E70" s="82"/>
      <c r="G70" s="212"/>
      <c r="H70" s="166"/>
      <c r="I70" s="166" t="e">
        <f>#REF!*E70</f>
        <v>#REF!</v>
      </c>
      <c r="J70" s="101"/>
      <c r="K70" s="99"/>
      <c r="L70" s="102">
        <f>E70*G68</f>
        <v>0</v>
      </c>
    </row>
    <row r="71" spans="1:12" ht="6" customHeight="1">
      <c r="A71" s="172"/>
      <c r="B71" s="156"/>
      <c r="C71" s="156"/>
      <c r="D71" s="157"/>
      <c r="E71" s="200"/>
      <c r="F71" s="159"/>
      <c r="G71" s="212"/>
    </row>
    <row r="72" spans="1:12" ht="12.75">
      <c r="A72" s="191">
        <f>1+A67</f>
        <v>6</v>
      </c>
      <c r="B72" s="192"/>
      <c r="C72" s="192"/>
      <c r="E72" s="198" t="s">
        <v>162</v>
      </c>
      <c r="G72" s="212"/>
      <c r="H72" s="193"/>
      <c r="I72" s="193"/>
    </row>
    <row r="73" spans="1:12" ht="12.75">
      <c r="E73" s="168" t="s">
        <v>73</v>
      </c>
      <c r="F73" s="165" t="s">
        <v>17</v>
      </c>
      <c r="G73" s="212">
        <f>'Méret Arany J'!G12</f>
        <v>57</v>
      </c>
      <c r="H73" s="169"/>
      <c r="I73" s="169"/>
    </row>
    <row r="74" spans="1:12" ht="12.75">
      <c r="B74" s="170"/>
      <c r="C74" s="170"/>
      <c r="D74" s="163" t="s">
        <v>11</v>
      </c>
      <c r="E74" s="81"/>
      <c r="G74" s="212"/>
      <c r="H74" s="166" t="e">
        <f>#REF!*E74</f>
        <v>#REF!</v>
      </c>
      <c r="I74" s="166"/>
      <c r="J74" s="98">
        <f>E74*G73</f>
        <v>0</v>
      </c>
      <c r="K74" s="99"/>
      <c r="L74" s="100"/>
    </row>
    <row r="75" spans="1:12" ht="12.75">
      <c r="B75" s="170"/>
      <c r="C75" s="170"/>
      <c r="D75" s="163" t="s">
        <v>12</v>
      </c>
      <c r="E75" s="82"/>
      <c r="G75" s="212"/>
      <c r="H75" s="166"/>
      <c r="I75" s="166" t="e">
        <f>#REF!*E75</f>
        <v>#REF!</v>
      </c>
      <c r="J75" s="101"/>
      <c r="K75" s="99"/>
      <c r="L75" s="102">
        <f>E75*G73</f>
        <v>0</v>
      </c>
    </row>
    <row r="76" spans="1:12" ht="9" customHeight="1">
      <c r="A76" s="172"/>
      <c r="B76" s="156"/>
      <c r="C76" s="156"/>
      <c r="D76" s="157"/>
      <c r="E76" s="200"/>
      <c r="F76" s="159"/>
      <c r="G76" s="212"/>
    </row>
    <row r="77" spans="1:12" ht="11.25" customHeight="1">
      <c r="A77" s="191">
        <f>1+A72</f>
        <v>7</v>
      </c>
      <c r="B77" s="156"/>
      <c r="C77" s="156"/>
      <c r="D77" s="157"/>
      <c r="E77" s="200"/>
      <c r="F77" s="159"/>
      <c r="G77" s="212"/>
    </row>
    <row r="78" spans="1:12" ht="12.75">
      <c r="B78" s="192"/>
      <c r="C78" s="192"/>
      <c r="E78" s="198" t="s">
        <v>163</v>
      </c>
      <c r="G78" s="212"/>
      <c r="H78" s="193"/>
      <c r="I78" s="193"/>
    </row>
    <row r="79" spans="1:12" ht="12.75">
      <c r="E79" s="168" t="s">
        <v>74</v>
      </c>
      <c r="F79" s="165" t="s">
        <v>15</v>
      </c>
      <c r="G79" s="212">
        <v>0</v>
      </c>
      <c r="H79" s="169"/>
      <c r="I79" s="169"/>
    </row>
    <row r="80" spans="1:12" ht="12.75">
      <c r="B80" s="170"/>
      <c r="C80" s="170"/>
      <c r="D80" s="163" t="s">
        <v>11</v>
      </c>
      <c r="E80" s="81"/>
      <c r="G80" s="212"/>
      <c r="H80" s="166" t="e">
        <f>#REF!*E80</f>
        <v>#REF!</v>
      </c>
      <c r="I80" s="166"/>
      <c r="J80" s="98">
        <f>E80*G79</f>
        <v>0</v>
      </c>
      <c r="K80" s="99"/>
      <c r="L80" s="100"/>
    </row>
    <row r="81" spans="1:12" ht="12.75">
      <c r="A81" s="172"/>
      <c r="B81" s="170"/>
      <c r="C81" s="170"/>
      <c r="D81" s="163" t="s">
        <v>12</v>
      </c>
      <c r="E81" s="82"/>
      <c r="G81" s="212"/>
      <c r="H81" s="166"/>
      <c r="I81" s="166" t="e">
        <f>#REF!*E81</f>
        <v>#REF!</v>
      </c>
      <c r="J81" s="101"/>
      <c r="K81" s="99"/>
      <c r="L81" s="102">
        <f>E81*G79</f>
        <v>0</v>
      </c>
    </row>
    <row r="82" spans="1:12" ht="6" customHeight="1">
      <c r="A82" s="172"/>
      <c r="B82" s="156"/>
      <c r="C82" s="156"/>
      <c r="D82" s="157"/>
      <c r="E82" s="200"/>
      <c r="F82" s="159"/>
      <c r="G82" s="212"/>
    </row>
    <row r="83" spans="1:12" ht="12.75">
      <c r="A83" s="191">
        <f>1+A77</f>
        <v>8</v>
      </c>
      <c r="B83" s="192"/>
      <c r="C83" s="192"/>
      <c r="E83" s="198" t="s">
        <v>164</v>
      </c>
      <c r="G83" s="212"/>
      <c r="H83" s="193"/>
      <c r="I83" s="193"/>
    </row>
    <row r="84" spans="1:12" ht="12.75">
      <c r="E84" s="168" t="s">
        <v>75</v>
      </c>
      <c r="F84" s="165" t="s">
        <v>15</v>
      </c>
      <c r="G84" s="212">
        <f>'Méret Arany J'!G14</f>
        <v>52</v>
      </c>
      <c r="H84" s="169"/>
      <c r="I84" s="169"/>
    </row>
    <row r="85" spans="1:12" ht="12.75">
      <c r="B85" s="170"/>
      <c r="C85" s="170"/>
      <c r="D85" s="163" t="s">
        <v>11</v>
      </c>
      <c r="E85" s="81"/>
      <c r="G85" s="212"/>
      <c r="H85" s="166" t="e">
        <f>#REF!*E85</f>
        <v>#REF!</v>
      </c>
      <c r="I85" s="166"/>
      <c r="J85" s="98">
        <f>E85*G84</f>
        <v>0</v>
      </c>
      <c r="K85" s="99"/>
      <c r="L85" s="100"/>
    </row>
    <row r="86" spans="1:12" ht="12.75">
      <c r="B86" s="170"/>
      <c r="C86" s="170"/>
      <c r="D86" s="163" t="s">
        <v>12</v>
      </c>
      <c r="E86" s="82"/>
      <c r="G86" s="212"/>
      <c r="H86" s="166"/>
      <c r="I86" s="166" t="e">
        <f>#REF!*E86</f>
        <v>#REF!</v>
      </c>
      <c r="J86" s="101"/>
      <c r="K86" s="99"/>
      <c r="L86" s="102">
        <f>E86*G84</f>
        <v>0</v>
      </c>
    </row>
    <row r="87" spans="1:12" ht="6" customHeight="1">
      <c r="A87" s="172"/>
      <c r="B87" s="156"/>
      <c r="C87" s="156"/>
      <c r="D87" s="157"/>
      <c r="E87" s="200"/>
      <c r="F87" s="159"/>
      <c r="G87" s="212"/>
    </row>
    <row r="88" spans="1:12" ht="12.75">
      <c r="A88" s="191">
        <f>1+A83</f>
        <v>9</v>
      </c>
      <c r="B88" s="192"/>
      <c r="C88" s="192"/>
      <c r="E88" s="198" t="s">
        <v>111</v>
      </c>
      <c r="G88" s="212"/>
      <c r="H88" s="193"/>
      <c r="I88" s="193"/>
    </row>
    <row r="89" spans="1:12" ht="12.75">
      <c r="E89" s="168" t="s">
        <v>76</v>
      </c>
      <c r="F89" s="165" t="s">
        <v>15</v>
      </c>
      <c r="G89" s="212">
        <f>'Méret Arany J'!G15</f>
        <v>21</v>
      </c>
      <c r="H89" s="169"/>
      <c r="I89" s="169"/>
    </row>
    <row r="90" spans="1:12" ht="12.75">
      <c r="B90" s="170"/>
      <c r="C90" s="170"/>
      <c r="D90" s="163" t="s">
        <v>11</v>
      </c>
      <c r="E90" s="81"/>
      <c r="G90" s="212"/>
      <c r="H90" s="166" t="e">
        <f>#REF!*E90</f>
        <v>#REF!</v>
      </c>
      <c r="I90" s="166"/>
      <c r="J90" s="98">
        <f>E90*G89</f>
        <v>0</v>
      </c>
      <c r="K90" s="99"/>
      <c r="L90" s="100"/>
    </row>
    <row r="91" spans="1:12" ht="12.75">
      <c r="B91" s="170"/>
      <c r="C91" s="170"/>
      <c r="D91" s="163" t="s">
        <v>12</v>
      </c>
      <c r="E91" s="82"/>
      <c r="G91" s="212"/>
      <c r="H91" s="166"/>
      <c r="I91" s="166" t="e">
        <f>#REF!*E91</f>
        <v>#REF!</v>
      </c>
      <c r="J91" s="101"/>
      <c r="K91" s="99"/>
      <c r="L91" s="102">
        <f>E91*G89</f>
        <v>0</v>
      </c>
    </row>
    <row r="92" spans="1:12" ht="6" customHeight="1">
      <c r="A92" s="172"/>
      <c r="B92" s="156"/>
      <c r="C92" s="156"/>
      <c r="D92" s="157"/>
      <c r="E92" s="200"/>
      <c r="F92" s="159"/>
      <c r="G92" s="212"/>
    </row>
    <row r="93" spans="1:12" ht="12.75">
      <c r="A93" s="191">
        <f>1+A88</f>
        <v>10</v>
      </c>
      <c r="B93" s="192"/>
      <c r="C93" s="192"/>
      <c r="E93" s="198" t="s">
        <v>165</v>
      </c>
      <c r="G93" s="212"/>
      <c r="H93" s="193"/>
      <c r="I93" s="193"/>
    </row>
    <row r="94" spans="1:12" ht="12.75">
      <c r="E94" s="168" t="s">
        <v>77</v>
      </c>
      <c r="F94" s="165" t="s">
        <v>13</v>
      </c>
      <c r="G94" s="212">
        <f>'Méret Arany J'!G16</f>
        <v>3</v>
      </c>
      <c r="H94" s="169"/>
      <c r="I94" s="169"/>
    </row>
    <row r="95" spans="1:12" ht="12.75">
      <c r="B95" s="170"/>
      <c r="C95" s="170"/>
      <c r="D95" s="163" t="s">
        <v>11</v>
      </c>
      <c r="E95" s="81"/>
      <c r="G95" s="212"/>
      <c r="H95" s="166" t="e">
        <f>#REF!*E95</f>
        <v>#REF!</v>
      </c>
      <c r="I95" s="166"/>
      <c r="J95" s="98">
        <f>E95*G94</f>
        <v>0</v>
      </c>
      <c r="K95" s="99"/>
      <c r="L95" s="100"/>
    </row>
    <row r="96" spans="1:12" ht="12.75">
      <c r="B96" s="170"/>
      <c r="C96" s="170"/>
      <c r="D96" s="163" t="s">
        <v>12</v>
      </c>
      <c r="E96" s="82"/>
      <c r="G96" s="212"/>
      <c r="H96" s="166"/>
      <c r="I96" s="166" t="e">
        <f>#REF!*E96</f>
        <v>#REF!</v>
      </c>
      <c r="J96" s="101"/>
      <c r="K96" s="99"/>
      <c r="L96" s="102">
        <f>E96*G94</f>
        <v>0</v>
      </c>
    </row>
    <row r="97" spans="1:12" ht="6" customHeight="1">
      <c r="A97" s="172"/>
      <c r="B97" s="156"/>
      <c r="C97" s="156"/>
      <c r="D97" s="157"/>
      <c r="E97" s="200"/>
      <c r="F97" s="159"/>
      <c r="G97" s="212"/>
    </row>
    <row r="98" spans="1:12" s="172" customFormat="1" ht="16.5" customHeight="1">
      <c r="A98" s="123"/>
      <c r="B98" s="147" t="s">
        <v>14</v>
      </c>
      <c r="C98" s="186"/>
      <c r="D98" s="149"/>
      <c r="E98" s="267"/>
      <c r="F98" s="189" t="s">
        <v>18</v>
      </c>
      <c r="G98" s="212"/>
      <c r="H98" s="187" t="e">
        <f>SUM(H45:H96)</f>
        <v>#REF!</v>
      </c>
      <c r="I98" s="188" t="e">
        <f>SUM(I45:I96)</f>
        <v>#REF!</v>
      </c>
      <c r="J98" s="109">
        <f>SUM(J45:J97)</f>
        <v>0</v>
      </c>
      <c r="K98" s="96"/>
      <c r="L98" s="110">
        <f>SUM(L45:L97)</f>
        <v>0</v>
      </c>
    </row>
    <row r="99" spans="1:12" s="172" customFormat="1" ht="16.5" customHeight="1">
      <c r="A99" s="123"/>
      <c r="B99" s="156"/>
      <c r="C99" s="156"/>
      <c r="D99" s="157"/>
      <c r="E99" s="200"/>
      <c r="F99" s="159"/>
      <c r="G99" s="212"/>
      <c r="H99" s="153"/>
      <c r="I99" s="153"/>
      <c r="J99" s="95"/>
      <c r="K99" s="96"/>
      <c r="L99" s="97"/>
    </row>
    <row r="100" spans="1:12">
      <c r="B100" s="147" t="s">
        <v>27</v>
      </c>
      <c r="C100" s="148"/>
      <c r="D100" s="149"/>
      <c r="E100" s="267"/>
      <c r="F100" s="189"/>
      <c r="G100" s="212"/>
      <c r="H100" s="153"/>
      <c r="I100" s="153"/>
    </row>
    <row r="101" spans="1:12" ht="15" customHeight="1">
      <c r="B101" s="156"/>
      <c r="C101" s="156"/>
      <c r="D101" s="157"/>
      <c r="E101" s="200"/>
      <c r="F101" s="190"/>
      <c r="G101" s="212"/>
      <c r="H101" s="153"/>
      <c r="I101" s="153"/>
    </row>
    <row r="102" spans="1:12" s="172" customFormat="1" ht="12.75">
      <c r="A102" s="191">
        <v>1</v>
      </c>
      <c r="B102" s="192"/>
      <c r="C102" s="192"/>
      <c r="D102" s="167"/>
      <c r="E102" s="198" t="s">
        <v>166</v>
      </c>
      <c r="F102" s="165"/>
      <c r="G102" s="212"/>
      <c r="H102" s="193"/>
      <c r="I102" s="193"/>
      <c r="J102" s="95"/>
      <c r="K102" s="96"/>
      <c r="L102" s="97"/>
    </row>
    <row r="103" spans="1:12" s="172" customFormat="1" ht="12.75">
      <c r="A103" s="123"/>
      <c r="B103" s="125"/>
      <c r="C103" s="125"/>
      <c r="D103" s="167"/>
      <c r="E103" s="195" t="s">
        <v>78</v>
      </c>
      <c r="F103" s="165" t="s">
        <v>17</v>
      </c>
      <c r="G103" s="212">
        <f>'Méret Arany J'!G18+'Méret Arany J'!G19+'Méret Arany J'!G20+'Méret Arany J'!G21+'Méret Arany J'!G22+'Méret Arany J'!G23</f>
        <v>3163</v>
      </c>
      <c r="H103" s="169"/>
      <c r="I103" s="169"/>
      <c r="J103" s="95"/>
      <c r="K103" s="96"/>
      <c r="L103" s="97"/>
    </row>
    <row r="104" spans="1:12" ht="12.75">
      <c r="B104" s="170"/>
      <c r="C104" s="170"/>
      <c r="D104" s="163" t="s">
        <v>11</v>
      </c>
      <c r="E104" s="81"/>
      <c r="G104" s="212"/>
      <c r="H104" s="166" t="e">
        <f>#REF!*E104</f>
        <v>#REF!</v>
      </c>
      <c r="I104" s="166"/>
      <c r="J104" s="98">
        <f>E104*G103</f>
        <v>0</v>
      </c>
      <c r="K104" s="99"/>
      <c r="L104" s="100"/>
    </row>
    <row r="105" spans="1:12" ht="12.75">
      <c r="B105" s="170"/>
      <c r="C105" s="170"/>
      <c r="D105" s="163" t="s">
        <v>12</v>
      </c>
      <c r="E105" s="82"/>
      <c r="G105" s="212"/>
      <c r="H105" s="166"/>
      <c r="I105" s="166" t="e">
        <f>#REF!*E105</f>
        <v>#REF!</v>
      </c>
      <c r="J105" s="101"/>
      <c r="K105" s="99"/>
      <c r="L105" s="102">
        <f>E105*G103</f>
        <v>0</v>
      </c>
    </row>
    <row r="106" spans="1:12" ht="6" customHeight="1">
      <c r="E106" s="168"/>
      <c r="G106" s="212"/>
      <c r="I106" s="196"/>
    </row>
    <row r="107" spans="1:12" s="172" customFormat="1" ht="12.75">
      <c r="A107" s="191">
        <f>A102+1</f>
        <v>2</v>
      </c>
      <c r="B107" s="192"/>
      <c r="C107" s="192"/>
      <c r="D107" s="167"/>
      <c r="E107" s="198" t="s">
        <v>167</v>
      </c>
      <c r="F107" s="165"/>
      <c r="G107" s="212"/>
      <c r="H107" s="193"/>
      <c r="I107" s="193"/>
      <c r="J107" s="95"/>
      <c r="K107" s="96"/>
      <c r="L107" s="97"/>
    </row>
    <row r="108" spans="1:12" s="172" customFormat="1" ht="12.75">
      <c r="A108" s="123"/>
      <c r="B108" s="125"/>
      <c r="C108" s="125"/>
      <c r="D108" s="167"/>
      <c r="E108" s="195" t="s">
        <v>79</v>
      </c>
      <c r="F108" s="165" t="s">
        <v>17</v>
      </c>
      <c r="G108" s="212">
        <f>'Méret Arany J'!G10</f>
        <v>43.8</v>
      </c>
      <c r="H108" s="169"/>
      <c r="I108" s="169"/>
      <c r="J108" s="95"/>
      <c r="K108" s="96"/>
      <c r="L108" s="97"/>
    </row>
    <row r="109" spans="1:12" ht="12.75">
      <c r="B109" s="170"/>
      <c r="C109" s="170"/>
      <c r="D109" s="163" t="s">
        <v>11</v>
      </c>
      <c r="E109" s="81"/>
      <c r="G109" s="212"/>
      <c r="H109" s="166" t="e">
        <f>#REF!*E109</f>
        <v>#REF!</v>
      </c>
      <c r="I109" s="166"/>
      <c r="J109" s="98">
        <f>E109*G108</f>
        <v>0</v>
      </c>
      <c r="K109" s="99"/>
      <c r="L109" s="100"/>
    </row>
    <row r="110" spans="1:12" ht="12.75">
      <c r="B110" s="170"/>
      <c r="C110" s="170"/>
      <c r="D110" s="163" t="s">
        <v>12</v>
      </c>
      <c r="E110" s="82"/>
      <c r="G110" s="212"/>
      <c r="H110" s="166"/>
      <c r="I110" s="166" t="e">
        <f>#REF!*E110</f>
        <v>#REF!</v>
      </c>
      <c r="J110" s="101"/>
      <c r="K110" s="99"/>
      <c r="L110" s="102">
        <f>E110*G108</f>
        <v>0</v>
      </c>
    </row>
    <row r="111" spans="1:12" ht="6" customHeight="1">
      <c r="E111" s="168"/>
      <c r="G111" s="212"/>
      <c r="I111" s="196"/>
    </row>
    <row r="112" spans="1:12" s="172" customFormat="1" ht="12.75">
      <c r="A112" s="191">
        <f t="shared" ref="A112" si="1">A107+1</f>
        <v>3</v>
      </c>
      <c r="B112" s="192"/>
      <c r="C112" s="192"/>
      <c r="D112" s="167"/>
      <c r="E112" s="198" t="s">
        <v>168</v>
      </c>
      <c r="F112" s="165"/>
      <c r="G112" s="212"/>
      <c r="H112" s="193"/>
      <c r="I112" s="193"/>
      <c r="J112" s="95"/>
      <c r="K112" s="96"/>
      <c r="L112" s="97"/>
    </row>
    <row r="113" spans="1:12" s="172" customFormat="1" ht="12.75">
      <c r="A113" s="123"/>
      <c r="B113" s="125"/>
      <c r="C113" s="125"/>
      <c r="D113" s="167"/>
      <c r="E113" s="195" t="s">
        <v>81</v>
      </c>
      <c r="F113" s="165" t="s">
        <v>17</v>
      </c>
      <c r="G113" s="212">
        <f>'Méret Arany J'!G21</f>
        <v>101</v>
      </c>
      <c r="H113" s="169"/>
      <c r="I113" s="169"/>
      <c r="J113" s="95"/>
      <c r="K113" s="96"/>
      <c r="L113" s="97"/>
    </row>
    <row r="114" spans="1:12" ht="12.75">
      <c r="B114" s="170"/>
      <c r="C114" s="170"/>
      <c r="D114" s="163" t="s">
        <v>11</v>
      </c>
      <c r="E114" s="81"/>
      <c r="G114" s="212"/>
      <c r="H114" s="166" t="e">
        <f>#REF!*E114</f>
        <v>#REF!</v>
      </c>
      <c r="I114" s="166"/>
      <c r="J114" s="98">
        <f>E114*G113</f>
        <v>0</v>
      </c>
      <c r="K114" s="99"/>
      <c r="L114" s="100"/>
    </row>
    <row r="115" spans="1:12" ht="12.75">
      <c r="B115" s="170"/>
      <c r="C115" s="170"/>
      <c r="D115" s="163" t="s">
        <v>12</v>
      </c>
      <c r="E115" s="82"/>
      <c r="G115" s="212"/>
      <c r="H115" s="166"/>
      <c r="I115" s="166" t="e">
        <f>#REF!*E115</f>
        <v>#REF!</v>
      </c>
      <c r="J115" s="101"/>
      <c r="K115" s="99"/>
      <c r="L115" s="102">
        <f>E115*G113</f>
        <v>0</v>
      </c>
    </row>
    <row r="116" spans="1:12" ht="6" customHeight="1">
      <c r="E116" s="168"/>
      <c r="G116" s="212"/>
      <c r="I116" s="196"/>
    </row>
    <row r="117" spans="1:12" s="172" customFormat="1" ht="25.5">
      <c r="A117" s="191">
        <f t="shared" ref="A117" si="2">A112+1</f>
        <v>4</v>
      </c>
      <c r="B117" s="192"/>
      <c r="C117" s="192"/>
      <c r="D117" s="167"/>
      <c r="E117" s="198" t="s">
        <v>91</v>
      </c>
      <c r="F117" s="165"/>
      <c r="G117" s="212"/>
      <c r="H117" s="193"/>
      <c r="I117" s="193"/>
      <c r="J117" s="95"/>
      <c r="K117" s="96"/>
      <c r="L117" s="97"/>
    </row>
    <row r="118" spans="1:12" s="172" customFormat="1" ht="12.75">
      <c r="A118" s="123"/>
      <c r="B118" s="125"/>
      <c r="C118" s="125"/>
      <c r="D118" s="167"/>
      <c r="E118" s="195" t="s">
        <v>146</v>
      </c>
      <c r="F118" s="165" t="s">
        <v>17</v>
      </c>
      <c r="G118" s="212">
        <f>'Méret Arany J'!G46</f>
        <v>323.60000000000002</v>
      </c>
      <c r="H118" s="169"/>
      <c r="I118" s="169"/>
      <c r="J118" s="95"/>
      <c r="K118" s="96"/>
      <c r="L118" s="97"/>
    </row>
    <row r="119" spans="1:12" ht="12.75">
      <c r="B119" s="170"/>
      <c r="C119" s="170"/>
      <c r="D119" s="163" t="s">
        <v>11</v>
      </c>
      <c r="E119" s="81"/>
      <c r="G119" s="212"/>
      <c r="H119" s="166" t="e">
        <f>#REF!*E119</f>
        <v>#REF!</v>
      </c>
      <c r="I119" s="166"/>
      <c r="J119" s="98">
        <f>E119*G118</f>
        <v>0</v>
      </c>
      <c r="K119" s="99"/>
      <c r="L119" s="100"/>
    </row>
    <row r="120" spans="1:12" ht="12.75">
      <c r="B120" s="170"/>
      <c r="C120" s="170"/>
      <c r="D120" s="163" t="s">
        <v>12</v>
      </c>
      <c r="E120" s="82"/>
      <c r="G120" s="212"/>
      <c r="H120" s="166"/>
      <c r="I120" s="166" t="e">
        <f>#REF!*E120</f>
        <v>#REF!</v>
      </c>
      <c r="J120" s="101"/>
      <c r="K120" s="99"/>
      <c r="L120" s="102">
        <f>E120*G118</f>
        <v>0</v>
      </c>
    </row>
    <row r="121" spans="1:12" ht="6" customHeight="1">
      <c r="E121" s="168"/>
      <c r="G121" s="212"/>
      <c r="I121" s="196"/>
    </row>
    <row r="122" spans="1:12" s="172" customFormat="1" ht="12.75">
      <c r="A122" s="191">
        <f t="shared" ref="A122" si="3">A117+1</f>
        <v>5</v>
      </c>
      <c r="B122" s="192"/>
      <c r="C122" s="192"/>
      <c r="D122" s="167"/>
      <c r="E122" s="198" t="s">
        <v>94</v>
      </c>
      <c r="F122" s="165"/>
      <c r="G122" s="212"/>
      <c r="H122" s="193"/>
      <c r="I122" s="193"/>
      <c r="J122" s="95"/>
      <c r="K122" s="96"/>
      <c r="L122" s="97"/>
    </row>
    <row r="123" spans="1:12" s="172" customFormat="1" ht="12.75">
      <c r="A123" s="123"/>
      <c r="B123" s="125"/>
      <c r="C123" s="125"/>
      <c r="D123" s="167"/>
      <c r="E123" s="195" t="s">
        <v>93</v>
      </c>
      <c r="F123" s="165" t="s">
        <v>60</v>
      </c>
      <c r="G123" s="212">
        <f>'Méret Arany J'!G46</f>
        <v>323.60000000000002</v>
      </c>
      <c r="H123" s="169"/>
      <c r="I123" s="169"/>
      <c r="J123" s="95"/>
      <c r="K123" s="96"/>
      <c r="L123" s="97"/>
    </row>
    <row r="124" spans="1:12" ht="12.75">
      <c r="B124" s="170"/>
      <c r="C124" s="170"/>
      <c r="D124" s="163" t="s">
        <v>11</v>
      </c>
      <c r="E124" s="81"/>
      <c r="G124" s="212"/>
      <c r="H124" s="166" t="e">
        <f>#REF!*E124</f>
        <v>#REF!</v>
      </c>
      <c r="I124" s="166"/>
      <c r="J124" s="98">
        <f>E124*G123</f>
        <v>0</v>
      </c>
      <c r="K124" s="99"/>
      <c r="L124" s="100"/>
    </row>
    <row r="125" spans="1:12" ht="12.75">
      <c r="B125" s="170"/>
      <c r="C125" s="170"/>
      <c r="D125" s="163" t="s">
        <v>12</v>
      </c>
      <c r="E125" s="82"/>
      <c r="G125" s="212"/>
      <c r="H125" s="166"/>
      <c r="I125" s="166" t="e">
        <f>#REF!*E125</f>
        <v>#REF!</v>
      </c>
      <c r="J125" s="101"/>
      <c r="K125" s="99"/>
      <c r="L125" s="102">
        <f>E125*G123</f>
        <v>0</v>
      </c>
    </row>
    <row r="126" spans="1:12" ht="6" customHeight="1">
      <c r="E126" s="168"/>
      <c r="G126" s="212"/>
      <c r="I126" s="196"/>
    </row>
    <row r="127" spans="1:12" s="172" customFormat="1" ht="12.75">
      <c r="A127" s="191">
        <f t="shared" ref="A127" si="4">A122+1</f>
        <v>6</v>
      </c>
      <c r="B127" s="192"/>
      <c r="C127" s="192"/>
      <c r="D127" s="167"/>
      <c r="E127" s="198" t="s">
        <v>148</v>
      </c>
      <c r="F127" s="165"/>
      <c r="G127" s="212"/>
      <c r="H127" s="193"/>
      <c r="I127" s="193"/>
      <c r="J127" s="95"/>
      <c r="K127" s="96"/>
      <c r="L127" s="97"/>
    </row>
    <row r="128" spans="1:12" s="172" customFormat="1" ht="12.75">
      <c r="A128" s="123"/>
      <c r="B128" s="125"/>
      <c r="C128" s="125"/>
      <c r="D128" s="167"/>
      <c r="E128" s="195" t="s">
        <v>147</v>
      </c>
      <c r="F128" s="165" t="s">
        <v>16</v>
      </c>
      <c r="G128" s="212">
        <f>'Méret Arany J'!G46*0.05</f>
        <v>16.180000000000003</v>
      </c>
      <c r="H128" s="169"/>
      <c r="I128" s="169"/>
      <c r="J128" s="95"/>
      <c r="K128" s="96"/>
      <c r="L128" s="97"/>
    </row>
    <row r="129" spans="1:12" ht="12.75">
      <c r="B129" s="170"/>
      <c r="C129" s="170"/>
      <c r="D129" s="163" t="s">
        <v>11</v>
      </c>
      <c r="E129" s="81"/>
      <c r="G129" s="212"/>
      <c r="H129" s="166" t="e">
        <f>#REF!*E129</f>
        <v>#REF!</v>
      </c>
      <c r="I129" s="166"/>
      <c r="J129" s="98">
        <f>E129*G128</f>
        <v>0</v>
      </c>
      <c r="K129" s="99"/>
      <c r="L129" s="100"/>
    </row>
    <row r="130" spans="1:12" ht="12.75">
      <c r="B130" s="170"/>
      <c r="C130" s="170"/>
      <c r="D130" s="163" t="s">
        <v>12</v>
      </c>
      <c r="E130" s="82"/>
      <c r="G130" s="212"/>
      <c r="H130" s="166"/>
      <c r="I130" s="166" t="e">
        <f>#REF!*E130</f>
        <v>#REF!</v>
      </c>
      <c r="J130" s="101"/>
      <c r="K130" s="99"/>
      <c r="L130" s="102">
        <f>E130*G128</f>
        <v>0</v>
      </c>
    </row>
    <row r="131" spans="1:12" ht="6" customHeight="1">
      <c r="E131" s="168"/>
      <c r="G131" s="212"/>
      <c r="I131" s="196"/>
    </row>
    <row r="132" spans="1:12" s="172" customFormat="1" ht="12.75">
      <c r="A132" s="191">
        <f t="shared" ref="A132" si="5">A127+1</f>
        <v>7</v>
      </c>
      <c r="B132" s="192"/>
      <c r="C132" s="192"/>
      <c r="D132" s="167"/>
      <c r="E132" s="198" t="s">
        <v>149</v>
      </c>
      <c r="F132" s="165"/>
      <c r="G132" s="212"/>
      <c r="H132" s="193"/>
      <c r="I132" s="193"/>
      <c r="J132" s="95"/>
      <c r="K132" s="96"/>
      <c r="L132" s="97"/>
    </row>
    <row r="133" spans="1:12" s="172" customFormat="1" ht="12.75">
      <c r="A133" s="123"/>
      <c r="B133" s="125"/>
      <c r="C133" s="125"/>
      <c r="D133" s="167"/>
      <c r="E133" s="195" t="s">
        <v>95</v>
      </c>
      <c r="F133" s="165" t="s">
        <v>16</v>
      </c>
      <c r="G133" s="212">
        <f>'Méret Arany J'!G46*0.08</f>
        <v>25.888000000000002</v>
      </c>
      <c r="H133" s="169"/>
      <c r="I133" s="169"/>
      <c r="J133" s="95"/>
      <c r="K133" s="96"/>
      <c r="L133" s="97"/>
    </row>
    <row r="134" spans="1:12" ht="12.75">
      <c r="B134" s="170"/>
      <c r="C134" s="170"/>
      <c r="D134" s="163" t="s">
        <v>11</v>
      </c>
      <c r="E134" s="81"/>
      <c r="G134" s="212"/>
      <c r="H134" s="166" t="e">
        <f>#REF!*E134</f>
        <v>#REF!</v>
      </c>
      <c r="I134" s="166"/>
      <c r="J134" s="98">
        <f>E134*G133</f>
        <v>0</v>
      </c>
      <c r="K134" s="99"/>
      <c r="L134" s="100"/>
    </row>
    <row r="135" spans="1:12" ht="12.75">
      <c r="B135" s="170"/>
      <c r="C135" s="170"/>
      <c r="D135" s="163" t="s">
        <v>12</v>
      </c>
      <c r="E135" s="82"/>
      <c r="G135" s="212"/>
      <c r="H135" s="166"/>
      <c r="I135" s="166" t="e">
        <f>#REF!*E135</f>
        <v>#REF!</v>
      </c>
      <c r="J135" s="101"/>
      <c r="K135" s="99"/>
      <c r="L135" s="102">
        <f>E135*G133</f>
        <v>0</v>
      </c>
    </row>
    <row r="136" spans="1:12" ht="13.5" customHeight="1">
      <c r="A136" s="191"/>
      <c r="E136" s="168"/>
      <c r="G136" s="212"/>
      <c r="I136" s="196"/>
    </row>
    <row r="137" spans="1:12" s="172" customFormat="1" ht="25.5">
      <c r="A137" s="197">
        <f>A132+1</f>
        <v>8</v>
      </c>
      <c r="B137" s="161"/>
      <c r="C137" s="161"/>
      <c r="D137" s="163"/>
      <c r="E137" s="198" t="s">
        <v>169</v>
      </c>
      <c r="F137" s="165"/>
      <c r="G137" s="212"/>
      <c r="H137" s="166"/>
      <c r="I137" s="166"/>
      <c r="J137" s="92"/>
      <c r="K137" s="93"/>
      <c r="L137" s="94"/>
    </row>
    <row r="138" spans="1:12" ht="16.5" customHeight="1">
      <c r="E138" s="195" t="s">
        <v>150</v>
      </c>
      <c r="F138" s="165" t="s">
        <v>60</v>
      </c>
      <c r="G138" s="212">
        <f>'Méret Arany J'!G43-G143</f>
        <v>120.80000000000001</v>
      </c>
      <c r="H138" s="169"/>
      <c r="I138" s="169"/>
    </row>
    <row r="139" spans="1:12" ht="12.75">
      <c r="B139" s="170"/>
      <c r="C139" s="170"/>
      <c r="D139" s="163" t="s">
        <v>11</v>
      </c>
      <c r="E139" s="81"/>
      <c r="G139" s="212"/>
      <c r="H139" s="166" t="e">
        <f>#REF!*E139</f>
        <v>#REF!</v>
      </c>
      <c r="I139" s="166"/>
      <c r="J139" s="98">
        <f>E139*G138</f>
        <v>0</v>
      </c>
      <c r="K139" s="99"/>
      <c r="L139" s="100"/>
    </row>
    <row r="140" spans="1:12" ht="12.75">
      <c r="B140" s="170"/>
      <c r="C140" s="170"/>
      <c r="D140" s="163" t="s">
        <v>12</v>
      </c>
      <c r="E140" s="171"/>
      <c r="G140" s="212"/>
      <c r="H140" s="166"/>
      <c r="I140" s="166" t="e">
        <f>#REF!*E140</f>
        <v>#REF!</v>
      </c>
      <c r="J140" s="101"/>
      <c r="K140" s="99"/>
      <c r="L140" s="102">
        <f>E140*G138</f>
        <v>0</v>
      </c>
    </row>
    <row r="141" spans="1:12" ht="12.75">
      <c r="B141" s="170"/>
      <c r="C141" s="170"/>
      <c r="D141" s="163"/>
      <c r="E141" s="83"/>
      <c r="G141" s="212"/>
      <c r="H141" s="166"/>
      <c r="I141" s="166"/>
      <c r="J141" s="101"/>
      <c r="K141" s="99"/>
      <c r="L141" s="108"/>
    </row>
    <row r="142" spans="1:12" s="172" customFormat="1" ht="25.5">
      <c r="A142" s="197">
        <f>A137+1</f>
        <v>9</v>
      </c>
      <c r="B142" s="161"/>
      <c r="C142" s="161"/>
      <c r="D142" s="163"/>
      <c r="E142" s="198" t="s">
        <v>170</v>
      </c>
      <c r="F142" s="165"/>
      <c r="G142" s="212"/>
      <c r="H142" s="166"/>
      <c r="I142" s="166"/>
      <c r="J142" s="92"/>
      <c r="K142" s="93"/>
      <c r="L142" s="94"/>
    </row>
    <row r="143" spans="1:12" ht="31.5" customHeight="1">
      <c r="E143" s="195" t="s">
        <v>151</v>
      </c>
      <c r="F143" s="165" t="s">
        <v>60</v>
      </c>
      <c r="G143" s="212">
        <f>6.6+17</f>
        <v>23.6</v>
      </c>
      <c r="H143" s="169"/>
      <c r="I143" s="169"/>
    </row>
    <row r="144" spans="1:12" ht="12.75">
      <c r="B144" s="170"/>
      <c r="C144" s="170"/>
      <c r="D144" s="163" t="s">
        <v>11</v>
      </c>
      <c r="E144" s="81"/>
      <c r="G144" s="212"/>
      <c r="H144" s="166" t="e">
        <f>#REF!*E144</f>
        <v>#REF!</v>
      </c>
      <c r="I144" s="166"/>
      <c r="J144" s="98">
        <f>E144*G143</f>
        <v>0</v>
      </c>
      <c r="K144" s="99"/>
      <c r="L144" s="100"/>
    </row>
    <row r="145" spans="1:12" ht="12.75">
      <c r="B145" s="170"/>
      <c r="C145" s="170"/>
      <c r="D145" s="163" t="s">
        <v>12</v>
      </c>
      <c r="E145" s="82"/>
      <c r="G145" s="212"/>
      <c r="H145" s="166"/>
      <c r="I145" s="166" t="e">
        <f>#REF!*E145</f>
        <v>#REF!</v>
      </c>
      <c r="J145" s="101"/>
      <c r="K145" s="99"/>
      <c r="L145" s="102">
        <f>E145*G143</f>
        <v>0</v>
      </c>
    </row>
    <row r="146" spans="1:12" ht="6" customHeight="1">
      <c r="E146" s="168"/>
      <c r="G146" s="212"/>
      <c r="I146" s="196"/>
    </row>
    <row r="147" spans="1:12" s="172" customFormat="1" ht="9" customHeight="1">
      <c r="A147" s="191"/>
      <c r="B147" s="162"/>
      <c r="C147" s="162"/>
      <c r="D147" s="163"/>
      <c r="E147" s="168"/>
      <c r="F147" s="165"/>
      <c r="G147" s="212"/>
      <c r="H147" s="166"/>
      <c r="I147" s="166"/>
      <c r="J147" s="92"/>
      <c r="K147" s="93"/>
      <c r="L147" s="94"/>
    </row>
    <row r="148" spans="1:12" s="172" customFormat="1" ht="18.75">
      <c r="A148" s="123"/>
      <c r="B148" s="147" t="s">
        <v>27</v>
      </c>
      <c r="C148" s="186"/>
      <c r="D148" s="149"/>
      <c r="E148" s="267"/>
      <c r="F148" s="189" t="s">
        <v>18</v>
      </c>
      <c r="G148" s="212"/>
      <c r="H148" s="199" t="e">
        <f>SUM(H100:H147)</f>
        <v>#REF!</v>
      </c>
      <c r="I148" s="199" t="e">
        <f>SUM(I100:I147)</f>
        <v>#REF!</v>
      </c>
      <c r="J148" s="111">
        <f>SUM(J102:J147)</f>
        <v>0</v>
      </c>
      <c r="K148" s="96"/>
      <c r="L148" s="111">
        <f>SUM(L102:L147)</f>
        <v>0</v>
      </c>
    </row>
    <row r="149" spans="1:12" s="172" customFormat="1">
      <c r="A149" s="123"/>
      <c r="B149" s="125"/>
      <c r="C149" s="125"/>
      <c r="D149" s="167"/>
      <c r="E149" s="168"/>
      <c r="F149" s="165"/>
      <c r="G149" s="212"/>
      <c r="H149" s="194"/>
      <c r="I149" s="196"/>
      <c r="J149" s="95"/>
      <c r="K149" s="96"/>
      <c r="L149" s="97"/>
    </row>
    <row r="150" spans="1:12" ht="16.5" customHeight="1">
      <c r="A150" s="172"/>
      <c r="B150" s="147" t="s">
        <v>19</v>
      </c>
      <c r="C150" s="148"/>
      <c r="D150" s="149"/>
      <c r="E150" s="267"/>
      <c r="F150" s="151"/>
      <c r="G150" s="212"/>
    </row>
    <row r="151" spans="1:12" ht="16.5" customHeight="1">
      <c r="A151" s="172"/>
      <c r="B151" s="156"/>
      <c r="C151" s="156"/>
      <c r="D151" s="157"/>
      <c r="E151" s="200"/>
      <c r="F151" s="159"/>
      <c r="G151" s="212"/>
    </row>
    <row r="152" spans="1:12" s="172" customFormat="1" ht="12.75">
      <c r="A152" s="191">
        <v>1</v>
      </c>
      <c r="B152" s="192"/>
      <c r="C152" s="192"/>
      <c r="D152" s="167"/>
      <c r="E152" s="198" t="s">
        <v>171</v>
      </c>
      <c r="F152" s="165"/>
      <c r="G152" s="212"/>
      <c r="H152" s="193"/>
      <c r="I152" s="193"/>
      <c r="J152" s="95"/>
      <c r="K152" s="96"/>
      <c r="L152" s="97"/>
    </row>
    <row r="153" spans="1:12" s="172" customFormat="1" ht="12.75">
      <c r="A153" s="123"/>
      <c r="B153" s="125"/>
      <c r="C153" s="125"/>
      <c r="D153" s="167"/>
      <c r="E153" s="195" t="s">
        <v>80</v>
      </c>
      <c r="F153" s="165" t="s">
        <v>16</v>
      </c>
      <c r="G153" s="212">
        <f>SUM('Méret Arany J'!G$18:G$23)*0.3</f>
        <v>948.9</v>
      </c>
      <c r="H153" s="169"/>
      <c r="I153" s="169"/>
      <c r="J153" s="95"/>
      <c r="K153" s="96"/>
      <c r="L153" s="97"/>
    </row>
    <row r="154" spans="1:12" ht="12.75">
      <c r="B154" s="170"/>
      <c r="C154" s="170"/>
      <c r="D154" s="163" t="s">
        <v>11</v>
      </c>
      <c r="E154" s="81"/>
      <c r="G154" s="212"/>
      <c r="H154" s="166" t="e">
        <f>#REF!*E154</f>
        <v>#REF!</v>
      </c>
      <c r="I154" s="166"/>
      <c r="J154" s="98">
        <f>E154*G153</f>
        <v>0</v>
      </c>
      <c r="K154" s="99"/>
      <c r="L154" s="100"/>
    </row>
    <row r="155" spans="1:12" ht="12.75">
      <c r="B155" s="170"/>
      <c r="C155" s="170"/>
      <c r="D155" s="163" t="s">
        <v>12</v>
      </c>
      <c r="E155" s="82"/>
      <c r="G155" s="212"/>
      <c r="H155" s="166"/>
      <c r="I155" s="166" t="e">
        <f>#REF!*E155</f>
        <v>#REF!</v>
      </c>
      <c r="J155" s="101"/>
      <c r="K155" s="99"/>
      <c r="L155" s="102">
        <f>E155*G153</f>
        <v>0</v>
      </c>
    </row>
    <row r="156" spans="1:12" ht="6" customHeight="1">
      <c r="E156" s="168"/>
      <c r="G156" s="212"/>
      <c r="I156" s="196"/>
    </row>
    <row r="157" spans="1:12" s="172" customFormat="1" ht="12.75">
      <c r="A157" s="191">
        <f>1+A152</f>
        <v>2</v>
      </c>
      <c r="B157" s="192"/>
      <c r="C157" s="192"/>
      <c r="D157" s="167"/>
      <c r="E157" s="198" t="s">
        <v>82</v>
      </c>
      <c r="F157" s="165"/>
      <c r="G157" s="212"/>
      <c r="H157" s="193"/>
      <c r="I157" s="193"/>
      <c r="J157" s="95"/>
      <c r="K157" s="96"/>
      <c r="L157" s="97"/>
    </row>
    <row r="158" spans="1:12" s="172" customFormat="1" ht="12.75">
      <c r="A158" s="123"/>
      <c r="B158" s="125"/>
      <c r="C158" s="125"/>
      <c r="D158" s="167"/>
      <c r="E158" s="195" t="s">
        <v>83</v>
      </c>
      <c r="F158" s="165" t="s">
        <v>16</v>
      </c>
      <c r="G158" s="212">
        <f>SUM('Méret Arany J'!G18,'Méret Arany J'!G19,'Méret Arany J'!G20,'Méret Arany J'!G22,'Méret Arany J'!G23)*0.15</f>
        <v>459.3</v>
      </c>
      <c r="H158" s="169"/>
      <c r="I158" s="169"/>
      <c r="J158" s="95"/>
      <c r="K158" s="96"/>
      <c r="L158" s="97"/>
    </row>
    <row r="159" spans="1:12" ht="12.75">
      <c r="B159" s="170"/>
      <c r="C159" s="170"/>
      <c r="D159" s="163" t="s">
        <v>11</v>
      </c>
      <c r="E159" s="81"/>
      <c r="G159" s="212"/>
      <c r="H159" s="166" t="e">
        <f>#REF!*E159</f>
        <v>#REF!</v>
      </c>
      <c r="I159" s="166"/>
      <c r="J159" s="98">
        <f>E159*G158</f>
        <v>0</v>
      </c>
      <c r="K159" s="99"/>
      <c r="L159" s="100"/>
    </row>
    <row r="160" spans="1:12" ht="12.75">
      <c r="B160" s="170"/>
      <c r="C160" s="170"/>
      <c r="D160" s="163" t="s">
        <v>12</v>
      </c>
      <c r="E160" s="82"/>
      <c r="G160" s="212"/>
      <c r="H160" s="166"/>
      <c r="I160" s="166" t="e">
        <f>#REF!*E160</f>
        <v>#REF!</v>
      </c>
      <c r="J160" s="101"/>
      <c r="K160" s="99"/>
      <c r="L160" s="102">
        <f>E160*G158</f>
        <v>0</v>
      </c>
    </row>
    <row r="161" spans="1:12" ht="6" customHeight="1">
      <c r="E161" s="168"/>
      <c r="G161" s="212"/>
      <c r="I161" s="196"/>
    </row>
    <row r="162" spans="1:12" s="172" customFormat="1" ht="38.25">
      <c r="A162" s="191">
        <f t="shared" ref="A162" si="6">1+A157</f>
        <v>3</v>
      </c>
      <c r="B162" s="192"/>
      <c r="C162" s="192"/>
      <c r="D162" s="167"/>
      <c r="E162" s="198" t="s">
        <v>172</v>
      </c>
      <c r="F162" s="165"/>
      <c r="G162" s="212"/>
      <c r="H162" s="193"/>
      <c r="I162" s="193"/>
      <c r="J162" s="95"/>
      <c r="K162" s="96"/>
      <c r="L162" s="97"/>
    </row>
    <row r="163" spans="1:12" s="172" customFormat="1" ht="12.75">
      <c r="A163" s="123"/>
      <c r="B163" s="125"/>
      <c r="C163" s="125"/>
      <c r="D163" s="167"/>
      <c r="E163" s="195" t="s">
        <v>84</v>
      </c>
      <c r="F163" s="165" t="s">
        <v>16</v>
      </c>
      <c r="G163" s="212">
        <f>SUM('Méret Arany J'!G18,'Méret Arany J'!G19,'Méret Arany J'!G20,'Méret Arany J'!G22,'Méret Arany J'!G23)*0.045</f>
        <v>137.79</v>
      </c>
      <c r="H163" s="169"/>
      <c r="I163" s="169"/>
      <c r="J163" s="95"/>
      <c r="K163" s="96"/>
      <c r="L163" s="97"/>
    </row>
    <row r="164" spans="1:12" ht="12.75">
      <c r="B164" s="170"/>
      <c r="C164" s="170"/>
      <c r="D164" s="163" t="s">
        <v>11</v>
      </c>
      <c r="E164" s="81"/>
      <c r="G164" s="212"/>
      <c r="H164" s="166" t="e">
        <f>#REF!*E164</f>
        <v>#REF!</v>
      </c>
      <c r="I164" s="166"/>
      <c r="J164" s="98">
        <f>E164*G163</f>
        <v>0</v>
      </c>
      <c r="K164" s="99"/>
      <c r="L164" s="100"/>
    </row>
    <row r="165" spans="1:12" ht="12.75">
      <c r="B165" s="170"/>
      <c r="C165" s="170"/>
      <c r="D165" s="163" t="s">
        <v>12</v>
      </c>
      <c r="E165" s="82"/>
      <c r="G165" s="212"/>
      <c r="H165" s="166"/>
      <c r="I165" s="166" t="e">
        <f>#REF!*E165</f>
        <v>#REF!</v>
      </c>
      <c r="J165" s="101"/>
      <c r="K165" s="99"/>
      <c r="L165" s="102">
        <f>E165*G163</f>
        <v>0</v>
      </c>
    </row>
    <row r="166" spans="1:12" ht="6" customHeight="1">
      <c r="E166" s="168"/>
      <c r="G166" s="212"/>
      <c r="I166" s="196"/>
    </row>
    <row r="167" spans="1:12" s="172" customFormat="1" ht="28.5">
      <c r="A167" s="191">
        <f t="shared" ref="A167" si="7">1+A162</f>
        <v>4</v>
      </c>
      <c r="B167" s="192"/>
      <c r="C167" s="192"/>
      <c r="D167" s="167"/>
      <c r="E167" s="198" t="s">
        <v>173</v>
      </c>
      <c r="F167" s="165"/>
      <c r="G167" s="212"/>
      <c r="H167" s="193"/>
      <c r="I167" s="193"/>
      <c r="J167" s="95"/>
      <c r="K167" s="96"/>
      <c r="L167" s="97"/>
    </row>
    <row r="168" spans="1:12" s="172" customFormat="1" ht="12.75">
      <c r="A168" s="123"/>
      <c r="B168" s="125"/>
      <c r="C168" s="125"/>
      <c r="D168" s="167"/>
      <c r="E168" s="195" t="s">
        <v>85</v>
      </c>
      <c r="F168" s="165" t="s">
        <v>16</v>
      </c>
      <c r="G168" s="212">
        <f>'Méret Arany J'!G21*0.03</f>
        <v>3.03</v>
      </c>
      <c r="H168" s="169"/>
      <c r="I168" s="169"/>
      <c r="J168" s="95"/>
      <c r="K168" s="96"/>
      <c r="L168" s="97"/>
    </row>
    <row r="169" spans="1:12" ht="12.75">
      <c r="B169" s="170"/>
      <c r="C169" s="170"/>
      <c r="D169" s="163" t="s">
        <v>11</v>
      </c>
      <c r="E169" s="81"/>
      <c r="G169" s="212"/>
      <c r="H169" s="166" t="e">
        <f>#REF!*E169</f>
        <v>#REF!</v>
      </c>
      <c r="I169" s="166"/>
      <c r="J169" s="98">
        <f>E169*G168</f>
        <v>0</v>
      </c>
      <c r="K169" s="99"/>
      <c r="L169" s="100"/>
    </row>
    <row r="170" spans="1:12" ht="12.75">
      <c r="B170" s="170"/>
      <c r="C170" s="170"/>
      <c r="D170" s="163" t="s">
        <v>12</v>
      </c>
      <c r="E170" s="82"/>
      <c r="G170" s="212"/>
      <c r="H170" s="166"/>
      <c r="I170" s="166" t="e">
        <f>#REF!*E170</f>
        <v>#REF!</v>
      </c>
      <c r="J170" s="101"/>
      <c r="K170" s="99"/>
      <c r="L170" s="102">
        <f>E170*G168</f>
        <v>0</v>
      </c>
    </row>
    <row r="171" spans="1:12" ht="6" customHeight="1">
      <c r="E171" s="168"/>
      <c r="G171" s="212"/>
      <c r="I171" s="196"/>
    </row>
    <row r="172" spans="1:12" s="172" customFormat="1" ht="28.5">
      <c r="A172" s="191">
        <f t="shared" ref="A172" si="8">1+A167</f>
        <v>5</v>
      </c>
      <c r="B172" s="192"/>
      <c r="C172" s="192"/>
      <c r="D172" s="167"/>
      <c r="E172" s="198" t="s">
        <v>174</v>
      </c>
      <c r="F172" s="165"/>
      <c r="G172" s="212"/>
      <c r="H172" s="193"/>
      <c r="I172" s="193"/>
      <c r="J172" s="95"/>
      <c r="K172" s="96"/>
      <c r="L172" s="97"/>
    </row>
    <row r="173" spans="1:12" s="172" customFormat="1" ht="12.75">
      <c r="A173" s="123"/>
      <c r="B173" s="125"/>
      <c r="C173" s="125"/>
      <c r="D173" s="167"/>
      <c r="E173" s="195" t="s">
        <v>86</v>
      </c>
      <c r="F173" s="165" t="s">
        <v>17</v>
      </c>
      <c r="G173" s="212">
        <f>'Méret Arany J'!G18</f>
        <v>1268</v>
      </c>
      <c r="H173" s="169"/>
      <c r="I173" s="169"/>
      <c r="J173" s="95"/>
      <c r="K173" s="96"/>
      <c r="L173" s="97"/>
    </row>
    <row r="174" spans="1:12" ht="12.75">
      <c r="B174" s="170"/>
      <c r="C174" s="170"/>
      <c r="D174" s="163" t="s">
        <v>11</v>
      </c>
      <c r="E174" s="81"/>
      <c r="G174" s="212"/>
      <c r="H174" s="166" t="e">
        <f>#REF!*E174</f>
        <v>#REF!</v>
      </c>
      <c r="I174" s="166"/>
      <c r="J174" s="98">
        <f>E174*G173</f>
        <v>0</v>
      </c>
      <c r="K174" s="99"/>
      <c r="L174" s="100"/>
    </row>
    <row r="175" spans="1:12" ht="12.75">
      <c r="B175" s="170"/>
      <c r="C175" s="170"/>
      <c r="D175" s="163" t="s">
        <v>12</v>
      </c>
      <c r="E175" s="82"/>
      <c r="G175" s="212"/>
      <c r="H175" s="166"/>
      <c r="I175" s="166" t="e">
        <f>#REF!*E175</f>
        <v>#REF!</v>
      </c>
      <c r="J175" s="101"/>
      <c r="K175" s="99"/>
      <c r="L175" s="102">
        <f>E175*G173</f>
        <v>0</v>
      </c>
    </row>
    <row r="176" spans="1:12" ht="6" customHeight="1">
      <c r="E176" s="168"/>
      <c r="G176" s="212"/>
      <c r="I176" s="196"/>
    </row>
    <row r="177" spans="1:12" s="172" customFormat="1">
      <c r="A177" s="191">
        <f t="shared" ref="A177" si="9">1+A172</f>
        <v>6</v>
      </c>
      <c r="B177" s="192"/>
      <c r="C177" s="192"/>
      <c r="D177" s="167"/>
      <c r="E177" s="198" t="s">
        <v>177</v>
      </c>
      <c r="F177" s="165"/>
      <c r="G177" s="212"/>
      <c r="H177" s="193"/>
      <c r="I177" s="193"/>
      <c r="J177" s="95"/>
      <c r="K177" s="96"/>
      <c r="L177" s="97"/>
    </row>
    <row r="178" spans="1:12" s="172" customFormat="1" ht="12.75">
      <c r="A178" s="123"/>
      <c r="B178" s="125"/>
      <c r="C178" s="125"/>
      <c r="D178" s="167"/>
      <c r="E178" s="195" t="s">
        <v>87</v>
      </c>
      <c r="F178" s="165" t="s">
        <v>17</v>
      </c>
      <c r="G178" s="212">
        <f>'Méret Arany J'!G20</f>
        <v>142</v>
      </c>
      <c r="H178" s="169"/>
      <c r="I178" s="169"/>
      <c r="J178" s="95"/>
      <c r="K178" s="96"/>
      <c r="L178" s="97"/>
    </row>
    <row r="179" spans="1:12" ht="12.75">
      <c r="B179" s="170"/>
      <c r="C179" s="170"/>
      <c r="D179" s="163" t="s">
        <v>11</v>
      </c>
      <c r="E179" s="81"/>
      <c r="G179" s="212"/>
      <c r="H179" s="166" t="e">
        <f>#REF!*E179</f>
        <v>#REF!</v>
      </c>
      <c r="I179" s="166"/>
      <c r="J179" s="98">
        <f>E179*G178</f>
        <v>0</v>
      </c>
      <c r="K179" s="99"/>
      <c r="L179" s="100"/>
    </row>
    <row r="180" spans="1:12" ht="12.75">
      <c r="B180" s="170"/>
      <c r="C180" s="170"/>
      <c r="D180" s="163" t="s">
        <v>12</v>
      </c>
      <c r="E180" s="82"/>
      <c r="G180" s="212"/>
      <c r="H180" s="166"/>
      <c r="I180" s="166" t="e">
        <f>#REF!*E180</f>
        <v>#REF!</v>
      </c>
      <c r="J180" s="101"/>
      <c r="K180" s="99"/>
      <c r="L180" s="102">
        <f>E180*G178</f>
        <v>0</v>
      </c>
    </row>
    <row r="181" spans="1:12" ht="6" customHeight="1">
      <c r="E181" s="168"/>
      <c r="G181" s="212"/>
      <c r="I181" s="196"/>
    </row>
    <row r="182" spans="1:12" s="172" customFormat="1" ht="31.5">
      <c r="A182" s="191">
        <f t="shared" ref="A182" si="10">1+A177</f>
        <v>7</v>
      </c>
      <c r="B182" s="192"/>
      <c r="C182" s="192"/>
      <c r="D182" s="167"/>
      <c r="E182" s="198" t="s">
        <v>178</v>
      </c>
      <c r="F182" s="165"/>
      <c r="G182" s="212"/>
      <c r="H182" s="193"/>
      <c r="I182" s="193"/>
      <c r="J182" s="95"/>
      <c r="K182" s="96"/>
      <c r="L182" s="97"/>
    </row>
    <row r="183" spans="1:12" s="172" customFormat="1" ht="12.75">
      <c r="A183" s="123"/>
      <c r="B183" s="125"/>
      <c r="C183" s="125"/>
      <c r="D183" s="167"/>
      <c r="E183" s="195" t="s">
        <v>90</v>
      </c>
      <c r="F183" s="165" t="s">
        <v>17</v>
      </c>
      <c r="G183" s="212">
        <f>'Méret Arany J'!G21</f>
        <v>101</v>
      </c>
      <c r="H183" s="169"/>
      <c r="I183" s="169"/>
      <c r="J183" s="95"/>
      <c r="K183" s="96"/>
      <c r="L183" s="97"/>
    </row>
    <row r="184" spans="1:12" ht="12.75">
      <c r="B184" s="170"/>
      <c r="C184" s="170"/>
      <c r="D184" s="163" t="s">
        <v>11</v>
      </c>
      <c r="E184" s="81"/>
      <c r="G184" s="212"/>
      <c r="H184" s="166" t="e">
        <f>#REF!*E184</f>
        <v>#REF!</v>
      </c>
      <c r="I184" s="166"/>
      <c r="J184" s="98">
        <f>E184*G183</f>
        <v>0</v>
      </c>
      <c r="K184" s="99"/>
      <c r="L184" s="100"/>
    </row>
    <row r="185" spans="1:12" ht="12.75">
      <c r="B185" s="170"/>
      <c r="C185" s="170"/>
      <c r="D185" s="163" t="s">
        <v>12</v>
      </c>
      <c r="E185" s="82"/>
      <c r="G185" s="212"/>
      <c r="H185" s="166"/>
      <c r="I185" s="166" t="e">
        <f>#REF!*E185</f>
        <v>#REF!</v>
      </c>
      <c r="J185" s="101"/>
      <c r="K185" s="99"/>
      <c r="L185" s="102">
        <f>E185*G183</f>
        <v>0</v>
      </c>
    </row>
    <row r="186" spans="1:12" ht="6" customHeight="1">
      <c r="E186" s="168"/>
      <c r="G186" s="212"/>
      <c r="I186" s="196"/>
    </row>
    <row r="187" spans="1:12" s="172" customFormat="1" ht="25.5">
      <c r="A187" s="191">
        <f t="shared" ref="A187" si="11">1+A182</f>
        <v>8</v>
      </c>
      <c r="B187" s="192"/>
      <c r="C187" s="192"/>
      <c r="D187" s="167"/>
      <c r="E187" s="198" t="s">
        <v>175</v>
      </c>
      <c r="F187" s="165"/>
      <c r="G187" s="212"/>
      <c r="H187" s="193"/>
      <c r="I187" s="193"/>
      <c r="J187" s="95"/>
      <c r="K187" s="96"/>
      <c r="L187" s="97"/>
    </row>
    <row r="188" spans="1:12" s="172" customFormat="1" ht="12.75">
      <c r="A188" s="123"/>
      <c r="B188" s="125"/>
      <c r="C188" s="125"/>
      <c r="D188" s="167"/>
      <c r="E188" s="195" t="s">
        <v>88</v>
      </c>
      <c r="F188" s="165" t="s">
        <v>17</v>
      </c>
      <c r="G188" s="212">
        <f>'Méret Arany J'!G22</f>
        <v>23</v>
      </c>
      <c r="H188" s="169"/>
      <c r="I188" s="169"/>
      <c r="J188" s="95"/>
      <c r="K188" s="96"/>
      <c r="L188" s="97"/>
    </row>
    <row r="189" spans="1:12" ht="12.75">
      <c r="B189" s="170"/>
      <c r="C189" s="170"/>
      <c r="D189" s="163" t="s">
        <v>11</v>
      </c>
      <c r="E189" s="81"/>
      <c r="G189" s="212"/>
      <c r="H189" s="166" t="e">
        <f>#REF!*E189</f>
        <v>#REF!</v>
      </c>
      <c r="I189" s="166"/>
      <c r="J189" s="98">
        <f>E189*G188</f>
        <v>0</v>
      </c>
      <c r="K189" s="99"/>
      <c r="L189" s="100"/>
    </row>
    <row r="190" spans="1:12" ht="12.75">
      <c r="B190" s="170"/>
      <c r="C190" s="170"/>
      <c r="D190" s="163" t="s">
        <v>12</v>
      </c>
      <c r="E190" s="82"/>
      <c r="G190" s="212"/>
      <c r="H190" s="166"/>
      <c r="I190" s="166" t="e">
        <f>#REF!*E190</f>
        <v>#REF!</v>
      </c>
      <c r="J190" s="101"/>
      <c r="K190" s="99"/>
      <c r="L190" s="102">
        <f>E190*G188</f>
        <v>0</v>
      </c>
    </row>
    <row r="191" spans="1:12" ht="6" customHeight="1">
      <c r="E191" s="168"/>
      <c r="G191" s="212"/>
      <c r="I191" s="196"/>
    </row>
    <row r="192" spans="1:12" s="172" customFormat="1">
      <c r="A192" s="191">
        <f t="shared" ref="A192" si="12">1+A187</f>
        <v>9</v>
      </c>
      <c r="B192" s="192"/>
      <c r="C192" s="192"/>
      <c r="D192" s="167"/>
      <c r="E192" s="198" t="s">
        <v>176</v>
      </c>
      <c r="F192" s="165"/>
      <c r="G192" s="212"/>
      <c r="H192" s="193"/>
      <c r="I192" s="193"/>
      <c r="J192" s="95"/>
      <c r="K192" s="96"/>
      <c r="L192" s="97"/>
    </row>
    <row r="193" spans="1:12" s="172" customFormat="1" ht="12.75">
      <c r="A193" s="123"/>
      <c r="B193" s="125"/>
      <c r="C193" s="125"/>
      <c r="D193" s="167"/>
      <c r="E193" s="195" t="s">
        <v>89</v>
      </c>
      <c r="F193" s="165" t="s">
        <v>17</v>
      </c>
      <c r="G193" s="212">
        <f>'Méret Arany J'!G23</f>
        <v>1629</v>
      </c>
      <c r="H193" s="169"/>
      <c r="I193" s="169"/>
      <c r="J193" s="95"/>
      <c r="K193" s="96"/>
      <c r="L193" s="97"/>
    </row>
    <row r="194" spans="1:12" ht="12.75">
      <c r="B194" s="170"/>
      <c r="C194" s="170"/>
      <c r="D194" s="163" t="s">
        <v>11</v>
      </c>
      <c r="E194" s="81"/>
      <c r="G194" s="212"/>
      <c r="H194" s="166" t="e">
        <f>#REF!*E194</f>
        <v>#REF!</v>
      </c>
      <c r="I194" s="166"/>
      <c r="J194" s="98">
        <f>E194*G193</f>
        <v>0</v>
      </c>
      <c r="K194" s="99"/>
      <c r="L194" s="100"/>
    </row>
    <row r="195" spans="1:12" ht="12.75">
      <c r="B195" s="170"/>
      <c r="C195" s="170"/>
      <c r="D195" s="163" t="s">
        <v>12</v>
      </c>
      <c r="E195" s="82"/>
      <c r="G195" s="212"/>
      <c r="H195" s="166"/>
      <c r="I195" s="166" t="e">
        <f>#REF!*E195</f>
        <v>#REF!</v>
      </c>
      <c r="J195" s="101"/>
      <c r="K195" s="99"/>
      <c r="L195" s="102">
        <f>E195*G193</f>
        <v>0</v>
      </c>
    </row>
    <row r="196" spans="1:12" ht="6" customHeight="1">
      <c r="E196" s="168"/>
      <c r="G196" s="212"/>
      <c r="I196" s="196"/>
    </row>
    <row r="197" spans="1:12" s="172" customFormat="1" ht="32.25" customHeight="1">
      <c r="A197" s="191">
        <f t="shared" ref="A197" si="13">1+A192</f>
        <v>10</v>
      </c>
      <c r="B197" s="192"/>
      <c r="C197" s="192"/>
      <c r="D197" s="167"/>
      <c r="E197" s="198" t="s">
        <v>180</v>
      </c>
      <c r="F197" s="165"/>
      <c r="G197" s="212"/>
      <c r="H197" s="193"/>
      <c r="I197" s="193"/>
      <c r="J197" s="95"/>
      <c r="K197" s="96"/>
      <c r="L197" s="97"/>
    </row>
    <row r="198" spans="1:12" s="172" customFormat="1" ht="12.75">
      <c r="A198" s="123"/>
      <c r="B198" s="125"/>
      <c r="C198" s="125"/>
      <c r="D198" s="167"/>
      <c r="E198" s="195" t="s">
        <v>179</v>
      </c>
      <c r="F198" s="165" t="s">
        <v>16</v>
      </c>
      <c r="G198" s="212">
        <f>'Méret Arany J'!G18/(0.2*0.2)*(0.19+0.19)*0.015*0.12</f>
        <v>21.682799999999997</v>
      </c>
      <c r="H198" s="169"/>
      <c r="I198" s="169"/>
      <c r="J198" s="95"/>
      <c r="K198" s="96"/>
      <c r="L198" s="97"/>
    </row>
    <row r="199" spans="1:12" ht="12.75">
      <c r="B199" s="170"/>
      <c r="C199" s="170"/>
      <c r="D199" s="163" t="s">
        <v>11</v>
      </c>
      <c r="E199" s="81"/>
      <c r="G199" s="212"/>
      <c r="H199" s="166" t="e">
        <f>#REF!*E199</f>
        <v>#REF!</v>
      </c>
      <c r="I199" s="166"/>
      <c r="J199" s="98">
        <f>E199*G198</f>
        <v>0</v>
      </c>
      <c r="K199" s="99"/>
      <c r="L199" s="100"/>
    </row>
    <row r="200" spans="1:12" ht="12.75">
      <c r="B200" s="170"/>
      <c r="C200" s="170"/>
      <c r="D200" s="163" t="s">
        <v>12</v>
      </c>
      <c r="E200" s="82"/>
      <c r="G200" s="212"/>
      <c r="H200" s="166"/>
      <c r="I200" s="166" t="e">
        <f>#REF!*E200</f>
        <v>#REF!</v>
      </c>
      <c r="J200" s="101"/>
      <c r="K200" s="99"/>
      <c r="L200" s="102">
        <f>E200*G198</f>
        <v>0</v>
      </c>
    </row>
    <row r="201" spans="1:12" ht="6" customHeight="1">
      <c r="E201" s="168"/>
      <c r="G201" s="212"/>
      <c r="I201" s="196"/>
    </row>
    <row r="202" spans="1:12" s="172" customFormat="1" ht="25.5">
      <c r="A202" s="191">
        <f t="shared" ref="A202" si="14">1+A197</f>
        <v>11</v>
      </c>
      <c r="B202" s="192"/>
      <c r="C202" s="192"/>
      <c r="D202" s="167"/>
      <c r="E202" s="198" t="s">
        <v>181</v>
      </c>
      <c r="F202" s="165"/>
      <c r="G202" s="212"/>
      <c r="H202" s="193"/>
      <c r="I202" s="193"/>
      <c r="J202" s="95"/>
      <c r="K202" s="96"/>
      <c r="L202" s="97"/>
    </row>
    <row r="203" spans="1:12" s="172" customFormat="1" ht="12.75">
      <c r="A203" s="123"/>
      <c r="B203" s="125"/>
      <c r="C203" s="125"/>
      <c r="D203" s="167"/>
      <c r="E203" s="195" t="s">
        <v>182</v>
      </c>
      <c r="F203" s="165" t="s">
        <v>16</v>
      </c>
      <c r="G203" s="212">
        <f>'Méret Arany J'!G20/(0.09*0.09)*(0.09+0.09)*0.015*0.06</f>
        <v>2.8399999999999994</v>
      </c>
      <c r="H203" s="169"/>
      <c r="I203" s="169"/>
      <c r="J203" s="95"/>
      <c r="K203" s="96"/>
      <c r="L203" s="97"/>
    </row>
    <row r="204" spans="1:12" ht="12.75">
      <c r="B204" s="170"/>
      <c r="C204" s="170"/>
      <c r="D204" s="163" t="s">
        <v>11</v>
      </c>
      <c r="E204" s="81"/>
      <c r="G204" s="212"/>
      <c r="H204" s="166" t="e">
        <f>#REF!*E204</f>
        <v>#REF!</v>
      </c>
      <c r="I204" s="166"/>
      <c r="J204" s="98">
        <f>E204*G203</f>
        <v>0</v>
      </c>
      <c r="K204" s="99"/>
      <c r="L204" s="100"/>
    </row>
    <row r="205" spans="1:12" ht="12.75">
      <c r="B205" s="170"/>
      <c r="C205" s="170"/>
      <c r="D205" s="163" t="s">
        <v>12</v>
      </c>
      <c r="E205" s="82"/>
      <c r="G205" s="212"/>
      <c r="H205" s="166"/>
      <c r="I205" s="166" t="e">
        <f>#REF!*E205</f>
        <v>#REF!</v>
      </c>
      <c r="J205" s="101"/>
      <c r="K205" s="99"/>
      <c r="L205" s="102">
        <f>E205*G203</f>
        <v>0</v>
      </c>
    </row>
    <row r="206" spans="1:12" ht="6" customHeight="1">
      <c r="E206" s="168"/>
      <c r="G206" s="212"/>
      <c r="I206" s="196"/>
    </row>
    <row r="207" spans="1:12" s="172" customFormat="1" ht="25.5">
      <c r="A207" s="191">
        <f t="shared" ref="A207" si="15">1+A202</f>
        <v>12</v>
      </c>
      <c r="B207" s="192"/>
      <c r="C207" s="192"/>
      <c r="D207" s="167"/>
      <c r="E207" s="198" t="s">
        <v>183</v>
      </c>
      <c r="F207" s="165"/>
      <c r="G207" s="212"/>
      <c r="H207" s="193"/>
      <c r="I207" s="193"/>
      <c r="J207" s="95"/>
      <c r="K207" s="96"/>
      <c r="L207" s="97"/>
    </row>
    <row r="208" spans="1:12" s="172" customFormat="1" ht="12.75">
      <c r="A208" s="123"/>
      <c r="B208" s="125"/>
      <c r="C208" s="125"/>
      <c r="D208" s="167"/>
      <c r="E208" s="195" t="s">
        <v>184</v>
      </c>
      <c r="F208" s="165" t="s">
        <v>16</v>
      </c>
      <c r="G208" s="212">
        <f>'Méret Arany J'!G22/(0.15*0.3)*(0.15+0.3)*0.03*0.2</f>
        <v>1.38</v>
      </c>
      <c r="H208" s="169"/>
      <c r="I208" s="169"/>
      <c r="J208" s="95"/>
      <c r="K208" s="96"/>
      <c r="L208" s="97"/>
    </row>
    <row r="209" spans="1:12" ht="12.75">
      <c r="B209" s="170"/>
      <c r="C209" s="170"/>
      <c r="D209" s="163" t="s">
        <v>11</v>
      </c>
      <c r="E209" s="81"/>
      <c r="G209" s="212"/>
      <c r="H209" s="166" t="e">
        <f>#REF!*E209</f>
        <v>#REF!</v>
      </c>
      <c r="I209" s="166"/>
      <c r="J209" s="98">
        <f>E209*G208</f>
        <v>0</v>
      </c>
      <c r="K209" s="99"/>
      <c r="L209" s="100"/>
    </row>
    <row r="210" spans="1:12" ht="12.75">
      <c r="B210" s="170"/>
      <c r="C210" s="170"/>
      <c r="D210" s="163" t="s">
        <v>12</v>
      </c>
      <c r="E210" s="82"/>
      <c r="G210" s="212"/>
      <c r="H210" s="166"/>
      <c r="I210" s="166" t="e">
        <f>#REF!*E210</f>
        <v>#REF!</v>
      </c>
      <c r="J210" s="101"/>
      <c r="K210" s="99"/>
      <c r="L210" s="102">
        <f>E210*G208</f>
        <v>0</v>
      </c>
    </row>
    <row r="211" spans="1:12" ht="6" customHeight="1">
      <c r="E211" s="168"/>
      <c r="G211" s="212"/>
      <c r="I211" s="196"/>
    </row>
    <row r="212" spans="1:12" s="172" customFormat="1" ht="38.25">
      <c r="A212" s="191">
        <f t="shared" ref="A212" si="16">1+A207</f>
        <v>13</v>
      </c>
      <c r="B212" s="192"/>
      <c r="C212" s="192"/>
      <c r="D212" s="167"/>
      <c r="E212" s="198" t="s">
        <v>185</v>
      </c>
      <c r="F212" s="165"/>
      <c r="G212" s="212"/>
      <c r="H212" s="193"/>
      <c r="I212" s="193"/>
      <c r="J212" s="95"/>
      <c r="K212" s="96"/>
      <c r="L212" s="97"/>
    </row>
    <row r="213" spans="1:12" s="172" customFormat="1" ht="12.75">
      <c r="A213" s="123"/>
      <c r="B213" s="125"/>
      <c r="C213" s="125"/>
      <c r="D213" s="167"/>
      <c r="E213" s="195" t="s">
        <v>186</v>
      </c>
      <c r="F213" s="165" t="s">
        <v>16</v>
      </c>
      <c r="G213" s="212">
        <f>'Méret Arany J'!G23/(0.2*0.2)*(0.2+0.2)*0.003*0.04</f>
        <v>1.9547999999999999</v>
      </c>
      <c r="H213" s="169"/>
      <c r="I213" s="169"/>
      <c r="J213" s="95"/>
      <c r="K213" s="96"/>
      <c r="L213" s="97"/>
    </row>
    <row r="214" spans="1:12" ht="12.75">
      <c r="B214" s="170"/>
      <c r="C214" s="170"/>
      <c r="D214" s="163" t="s">
        <v>11</v>
      </c>
      <c r="E214" s="81"/>
      <c r="G214" s="212"/>
      <c r="H214" s="166" t="e">
        <f>#REF!*E214</f>
        <v>#REF!</v>
      </c>
      <c r="I214" s="166"/>
      <c r="J214" s="98">
        <f>E214*G213</f>
        <v>0</v>
      </c>
      <c r="K214" s="99"/>
      <c r="L214" s="100"/>
    </row>
    <row r="215" spans="1:12" ht="12.75">
      <c r="B215" s="170"/>
      <c r="C215" s="170"/>
      <c r="D215" s="163" t="s">
        <v>12</v>
      </c>
      <c r="E215" s="82"/>
      <c r="G215" s="212"/>
      <c r="H215" s="166"/>
      <c r="I215" s="166" t="e">
        <f>#REF!*E215</f>
        <v>#REF!</v>
      </c>
      <c r="J215" s="101"/>
      <c r="K215" s="99"/>
      <c r="L215" s="102">
        <f>E215*G213</f>
        <v>0</v>
      </c>
    </row>
    <row r="216" spans="1:12" ht="6" customHeight="1">
      <c r="E216" s="168"/>
      <c r="G216" s="212"/>
      <c r="I216" s="196"/>
    </row>
    <row r="217" spans="1:12" s="172" customFormat="1" ht="25.5">
      <c r="A217" s="191">
        <f>1+A212</f>
        <v>14</v>
      </c>
      <c r="B217" s="192"/>
      <c r="C217" s="192"/>
      <c r="D217" s="167"/>
      <c r="E217" s="198" t="s">
        <v>188</v>
      </c>
      <c r="F217" s="165"/>
      <c r="G217" s="212"/>
      <c r="H217" s="193"/>
      <c r="I217" s="193"/>
      <c r="J217" s="95"/>
      <c r="K217" s="96"/>
      <c r="L217" s="97"/>
    </row>
    <row r="218" spans="1:12" s="172" customFormat="1" ht="12.75">
      <c r="A218" s="123"/>
      <c r="B218" s="125"/>
      <c r="C218" s="125"/>
      <c r="D218" s="167"/>
      <c r="E218" s="195" t="s">
        <v>187</v>
      </c>
      <c r="F218" s="165" t="s">
        <v>16</v>
      </c>
      <c r="G218" s="212">
        <f>'Méret Arany J'!G21/(0.15*0.3)*(0.15+0.3)*0.005*0.05</f>
        <v>0.2525</v>
      </c>
      <c r="H218" s="169"/>
      <c r="I218" s="169"/>
      <c r="J218" s="95"/>
      <c r="K218" s="96"/>
      <c r="L218" s="97"/>
    </row>
    <row r="219" spans="1:12" ht="12.75">
      <c r="B219" s="170"/>
      <c r="C219" s="170"/>
      <c r="D219" s="163" t="s">
        <v>11</v>
      </c>
      <c r="E219" s="81"/>
      <c r="G219" s="212"/>
      <c r="H219" s="166" t="e">
        <f>#REF!*E219</f>
        <v>#REF!</v>
      </c>
      <c r="I219" s="166"/>
      <c r="J219" s="98">
        <f>E219*G218</f>
        <v>0</v>
      </c>
      <c r="K219" s="99"/>
      <c r="L219" s="100"/>
    </row>
    <row r="220" spans="1:12" ht="12.75">
      <c r="B220" s="170"/>
      <c r="C220" s="170"/>
      <c r="D220" s="163" t="s">
        <v>12</v>
      </c>
      <c r="E220" s="82"/>
      <c r="G220" s="212"/>
      <c r="H220" s="166"/>
      <c r="I220" s="166" t="e">
        <f>#REF!*E220</f>
        <v>#REF!</v>
      </c>
      <c r="J220" s="101"/>
      <c r="K220" s="99"/>
      <c r="L220" s="102">
        <f>E220*G218</f>
        <v>0</v>
      </c>
    </row>
    <row r="221" spans="1:12" ht="6" customHeight="1">
      <c r="E221" s="168"/>
      <c r="G221" s="212"/>
      <c r="I221" s="196"/>
    </row>
    <row r="222" spans="1:12" s="172" customFormat="1" ht="25.5">
      <c r="A222" s="197">
        <f>A217+1</f>
        <v>15</v>
      </c>
      <c r="B222" s="161"/>
      <c r="C222" s="161"/>
      <c r="D222" s="163"/>
      <c r="E222" s="198" t="s">
        <v>189</v>
      </c>
      <c r="F222" s="165"/>
      <c r="G222" s="212"/>
      <c r="H222" s="166"/>
      <c r="I222" s="166"/>
      <c r="J222" s="92"/>
      <c r="K222" s="93"/>
      <c r="L222" s="94"/>
    </row>
    <row r="223" spans="1:12" ht="16.5" customHeight="1">
      <c r="E223" s="195" t="s">
        <v>101</v>
      </c>
      <c r="F223" s="165" t="s">
        <v>16</v>
      </c>
      <c r="G223" s="212">
        <f>'Méret Arany J'!G51*0.35*0.3</f>
        <v>13.145999999999997</v>
      </c>
      <c r="H223" s="169"/>
      <c r="I223" s="169"/>
    </row>
    <row r="224" spans="1:12" ht="12.75">
      <c r="B224" s="170"/>
      <c r="C224" s="170"/>
      <c r="D224" s="163" t="s">
        <v>11</v>
      </c>
      <c r="E224" s="81"/>
      <c r="G224" s="212"/>
      <c r="H224" s="166" t="e">
        <f>#REF!*E224</f>
        <v>#REF!</v>
      </c>
      <c r="I224" s="166"/>
      <c r="J224" s="98">
        <f>E224*G223</f>
        <v>0</v>
      </c>
      <c r="K224" s="99"/>
      <c r="L224" s="100"/>
    </row>
    <row r="225" spans="1:12" ht="12.75">
      <c r="B225" s="170"/>
      <c r="C225" s="170"/>
      <c r="D225" s="163" t="s">
        <v>12</v>
      </c>
      <c r="E225" s="82"/>
      <c r="G225" s="212"/>
      <c r="H225" s="166"/>
      <c r="I225" s="166" t="e">
        <f>#REF!*E225</f>
        <v>#REF!</v>
      </c>
      <c r="J225" s="101"/>
      <c r="K225" s="99"/>
      <c r="L225" s="102">
        <f>E225*G223</f>
        <v>0</v>
      </c>
    </row>
    <row r="226" spans="1:12" ht="13.5" customHeight="1">
      <c r="A226" s="191"/>
      <c r="E226" s="168"/>
      <c r="G226" s="212"/>
      <c r="I226" s="196"/>
    </row>
    <row r="227" spans="1:12" s="172" customFormat="1" ht="25.5">
      <c r="A227" s="197">
        <f>A222+1</f>
        <v>16</v>
      </c>
      <c r="B227" s="161"/>
      <c r="C227" s="161"/>
      <c r="D227" s="163"/>
      <c r="E227" s="198" t="s">
        <v>190</v>
      </c>
      <c r="F227" s="165"/>
      <c r="G227" s="212"/>
      <c r="H227" s="166"/>
      <c r="I227" s="166"/>
      <c r="J227" s="92"/>
      <c r="K227" s="93"/>
      <c r="L227" s="94"/>
    </row>
    <row r="228" spans="1:12" ht="16.5" customHeight="1">
      <c r="E228" s="195" t="s">
        <v>102</v>
      </c>
      <c r="F228" s="165" t="s">
        <v>17</v>
      </c>
      <c r="G228" s="212">
        <f>'Méret Arany J'!G51*0.14</f>
        <v>17.527999999999999</v>
      </c>
      <c r="H228" s="169"/>
      <c r="I228" s="169"/>
    </row>
    <row r="229" spans="1:12" ht="12.75">
      <c r="B229" s="170"/>
      <c r="C229" s="170"/>
      <c r="D229" s="163" t="s">
        <v>11</v>
      </c>
      <c r="E229" s="81"/>
      <c r="G229" s="212"/>
      <c r="H229" s="166" t="e">
        <f>#REF!*E229</f>
        <v>#REF!</v>
      </c>
      <c r="I229" s="166"/>
      <c r="J229" s="98">
        <f>E229*G228</f>
        <v>0</v>
      </c>
      <c r="K229" s="99"/>
      <c r="L229" s="100"/>
    </row>
    <row r="230" spans="1:12" ht="12.75">
      <c r="B230" s="170"/>
      <c r="C230" s="170"/>
      <c r="D230" s="163" t="s">
        <v>12</v>
      </c>
      <c r="E230" s="82"/>
      <c r="G230" s="212"/>
      <c r="H230" s="166"/>
      <c r="I230" s="166" t="e">
        <f>#REF!*E230</f>
        <v>#REF!</v>
      </c>
      <c r="J230" s="101"/>
      <c r="K230" s="99"/>
      <c r="L230" s="102">
        <f>E230*G228</f>
        <v>0</v>
      </c>
    </row>
    <row r="231" spans="1:12" ht="13.5" customHeight="1">
      <c r="A231" s="191"/>
      <c r="E231" s="168"/>
      <c r="G231" s="212"/>
      <c r="I231" s="196"/>
    </row>
    <row r="232" spans="1:12" s="172" customFormat="1" ht="12.75">
      <c r="A232" s="197">
        <f>A227+1</f>
        <v>17</v>
      </c>
      <c r="B232" s="161"/>
      <c r="C232" s="161"/>
      <c r="D232" s="163"/>
      <c r="E232" s="198" t="s">
        <v>191</v>
      </c>
      <c r="F232" s="165"/>
      <c r="G232" s="212"/>
      <c r="H232" s="166"/>
      <c r="I232" s="166"/>
      <c r="J232" s="92"/>
      <c r="K232" s="93"/>
      <c r="L232" s="94"/>
    </row>
    <row r="233" spans="1:12" ht="16.5" customHeight="1">
      <c r="E233" s="195" t="s">
        <v>97</v>
      </c>
      <c r="F233" s="165" t="s">
        <v>16</v>
      </c>
      <c r="G233" s="212">
        <f>'Méret Arany J'!G48</f>
        <v>10.3</v>
      </c>
      <c r="H233" s="169"/>
      <c r="I233" s="169"/>
    </row>
    <row r="234" spans="1:12" ht="12.75">
      <c r="B234" s="170"/>
      <c r="C234" s="170"/>
      <c r="D234" s="163" t="s">
        <v>11</v>
      </c>
      <c r="E234" s="81"/>
      <c r="G234" s="212"/>
      <c r="H234" s="166" t="e">
        <f>#REF!*E234</f>
        <v>#REF!</v>
      </c>
      <c r="I234" s="166"/>
      <c r="J234" s="98">
        <f>E234*G233</f>
        <v>0</v>
      </c>
      <c r="K234" s="99"/>
      <c r="L234" s="100"/>
    </row>
    <row r="235" spans="1:12" ht="12.75">
      <c r="B235" s="170"/>
      <c r="C235" s="170"/>
      <c r="D235" s="163" t="s">
        <v>12</v>
      </c>
      <c r="E235" s="82"/>
      <c r="G235" s="212"/>
      <c r="H235" s="166"/>
      <c r="I235" s="166" t="e">
        <f>#REF!*E235</f>
        <v>#REF!</v>
      </c>
      <c r="J235" s="101"/>
      <c r="K235" s="99"/>
      <c r="L235" s="102">
        <f>E235*G233</f>
        <v>0</v>
      </c>
    </row>
    <row r="236" spans="1:12" ht="13.5" customHeight="1">
      <c r="A236" s="191"/>
      <c r="E236" s="168"/>
      <c r="G236" s="212"/>
      <c r="I236" s="196"/>
    </row>
    <row r="237" spans="1:12" s="172" customFormat="1" ht="25.5">
      <c r="A237" s="197">
        <f>A232+1</f>
        <v>18</v>
      </c>
      <c r="B237" s="161"/>
      <c r="C237" s="161"/>
      <c r="D237" s="163"/>
      <c r="E237" s="198" t="s">
        <v>192</v>
      </c>
      <c r="F237" s="165"/>
      <c r="G237" s="212"/>
      <c r="H237" s="166"/>
      <c r="I237" s="166"/>
      <c r="J237" s="92"/>
      <c r="K237" s="93"/>
      <c r="L237" s="94"/>
    </row>
    <row r="238" spans="1:12" ht="16.5" customHeight="1">
      <c r="E238" s="195" t="s">
        <v>96</v>
      </c>
      <c r="F238" s="165" t="s">
        <v>16</v>
      </c>
      <c r="G238" s="212">
        <f>'Méret Arany J'!G47</f>
        <v>8.7999999999999989</v>
      </c>
      <c r="H238" s="169"/>
      <c r="I238" s="169"/>
    </row>
    <row r="239" spans="1:12" ht="12.75">
      <c r="B239" s="170"/>
      <c r="C239" s="170"/>
      <c r="D239" s="163" t="s">
        <v>11</v>
      </c>
      <c r="E239" s="81"/>
      <c r="G239" s="212"/>
      <c r="H239" s="166" t="e">
        <f>#REF!*E239</f>
        <v>#REF!</v>
      </c>
      <c r="I239" s="166"/>
      <c r="J239" s="98">
        <f>E239*G238</f>
        <v>0</v>
      </c>
      <c r="K239" s="99"/>
      <c r="L239" s="100"/>
    </row>
    <row r="240" spans="1:12" ht="12.75">
      <c r="B240" s="170"/>
      <c r="C240" s="170"/>
      <c r="D240" s="163" t="s">
        <v>12</v>
      </c>
      <c r="E240" s="82"/>
      <c r="G240" s="212"/>
      <c r="H240" s="166"/>
      <c r="I240" s="166" t="e">
        <f>#REF!*E240</f>
        <v>#REF!</v>
      </c>
      <c r="J240" s="101"/>
      <c r="K240" s="99"/>
      <c r="L240" s="102">
        <f>E240*G238</f>
        <v>0</v>
      </c>
    </row>
    <row r="241" spans="1:12" ht="13.5" customHeight="1">
      <c r="A241" s="191"/>
      <c r="E241" s="168"/>
      <c r="G241" s="212"/>
      <c r="I241" s="196"/>
    </row>
    <row r="242" spans="1:12" s="172" customFormat="1" ht="12.75">
      <c r="A242" s="197">
        <f>A237+1</f>
        <v>19</v>
      </c>
      <c r="B242" s="161"/>
      <c r="C242" s="161"/>
      <c r="D242" s="163"/>
      <c r="E242" s="198" t="s">
        <v>193</v>
      </c>
      <c r="F242" s="165"/>
      <c r="G242" s="212"/>
      <c r="H242" s="166"/>
      <c r="I242" s="166"/>
      <c r="J242" s="112"/>
      <c r="K242" s="93"/>
      <c r="L242" s="94"/>
    </row>
    <row r="243" spans="1:12" ht="16.5" customHeight="1">
      <c r="E243" s="195" t="s">
        <v>98</v>
      </c>
      <c r="F243" s="165" t="s">
        <v>17</v>
      </c>
      <c r="G243" s="212">
        <f>'Méret Arany J'!G49/(0.31*0.14)*(0.31+0.14)</f>
        <v>26.958525345622121</v>
      </c>
      <c r="H243" s="169"/>
      <c r="I243" s="169"/>
    </row>
    <row r="244" spans="1:12" ht="12.75">
      <c r="B244" s="170"/>
      <c r="C244" s="170"/>
      <c r="D244" s="163" t="s">
        <v>11</v>
      </c>
      <c r="E244" s="81"/>
      <c r="G244" s="212"/>
      <c r="H244" s="166" t="e">
        <f>#REF!*E244</f>
        <v>#REF!</v>
      </c>
      <c r="I244" s="166"/>
      <c r="J244" s="98">
        <f>E244*G243</f>
        <v>0</v>
      </c>
      <c r="K244" s="99"/>
      <c r="L244" s="100"/>
    </row>
    <row r="245" spans="1:12" ht="12.75">
      <c r="B245" s="170"/>
      <c r="C245" s="170"/>
      <c r="D245" s="163" t="s">
        <v>12</v>
      </c>
      <c r="E245" s="82"/>
      <c r="G245" s="212"/>
      <c r="H245" s="166"/>
      <c r="I245" s="166" t="e">
        <f>#REF!*E245</f>
        <v>#REF!</v>
      </c>
      <c r="J245" s="101"/>
      <c r="K245" s="99"/>
      <c r="L245" s="102">
        <f>E245*G243</f>
        <v>0</v>
      </c>
    </row>
    <row r="246" spans="1:12" ht="13.5" customHeight="1">
      <c r="A246" s="191"/>
      <c r="E246" s="168"/>
      <c r="G246" s="212"/>
      <c r="I246" s="196"/>
    </row>
    <row r="247" spans="1:12" s="172" customFormat="1" ht="25.5">
      <c r="A247" s="197">
        <f>A242+1</f>
        <v>20</v>
      </c>
      <c r="B247" s="161"/>
      <c r="C247" s="161"/>
      <c r="D247" s="163"/>
      <c r="E247" s="198" t="s">
        <v>194</v>
      </c>
      <c r="F247" s="165"/>
      <c r="G247" s="212"/>
      <c r="H247" s="166"/>
      <c r="I247" s="166"/>
      <c r="J247" s="92"/>
      <c r="K247" s="93"/>
      <c r="L247" s="113"/>
    </row>
    <row r="248" spans="1:12" ht="16.5" customHeight="1">
      <c r="E248" s="195" t="s">
        <v>99</v>
      </c>
      <c r="F248" s="165" t="s">
        <v>16</v>
      </c>
      <c r="G248" s="212">
        <f>'Méret Arany J'!G50</f>
        <v>4.4000000000000004</v>
      </c>
      <c r="H248" s="169"/>
      <c r="I248" s="169"/>
    </row>
    <row r="249" spans="1:12" ht="12.75">
      <c r="B249" s="170"/>
      <c r="C249" s="170"/>
      <c r="D249" s="163" t="s">
        <v>11</v>
      </c>
      <c r="E249" s="81"/>
      <c r="G249" s="212"/>
      <c r="H249" s="166" t="e">
        <f>#REF!*E249</f>
        <v>#REF!</v>
      </c>
      <c r="I249" s="166"/>
      <c r="J249" s="98">
        <f>E249*G248</f>
        <v>0</v>
      </c>
      <c r="K249" s="99"/>
      <c r="L249" s="100"/>
    </row>
    <row r="250" spans="1:12" ht="12.75">
      <c r="B250" s="170"/>
      <c r="C250" s="170"/>
      <c r="D250" s="163" t="s">
        <v>12</v>
      </c>
      <c r="E250" s="82"/>
      <c r="G250" s="212"/>
      <c r="H250" s="166"/>
      <c r="I250" s="166" t="e">
        <f>#REF!*E250</f>
        <v>#REF!</v>
      </c>
      <c r="J250" s="101"/>
      <c r="K250" s="99"/>
      <c r="L250" s="102">
        <f>E250*G248</f>
        <v>0</v>
      </c>
    </row>
    <row r="251" spans="1:12" ht="13.5" customHeight="1">
      <c r="A251" s="191"/>
      <c r="E251" s="168"/>
      <c r="G251" s="212"/>
      <c r="I251" s="196"/>
    </row>
    <row r="252" spans="1:12" s="172" customFormat="1" ht="12.75">
      <c r="A252" s="197">
        <f>A247+1</f>
        <v>21</v>
      </c>
      <c r="B252" s="161"/>
      <c r="C252" s="161"/>
      <c r="D252" s="163"/>
      <c r="E252" s="198" t="s">
        <v>195</v>
      </c>
      <c r="F252" s="165"/>
      <c r="G252" s="212"/>
      <c r="H252" s="166"/>
      <c r="I252" s="166"/>
      <c r="J252" s="92"/>
      <c r="K252" s="93"/>
      <c r="L252" s="113"/>
    </row>
    <row r="253" spans="1:12" ht="16.5" customHeight="1">
      <c r="E253" s="195" t="s">
        <v>100</v>
      </c>
      <c r="F253" s="165" t="s">
        <v>17</v>
      </c>
      <c r="G253" s="212">
        <f>'Méret Arany J'!G51*0.31</f>
        <v>38.811999999999998</v>
      </c>
      <c r="H253" s="169"/>
      <c r="I253" s="169"/>
    </row>
    <row r="254" spans="1:12" ht="12.75">
      <c r="B254" s="170"/>
      <c r="C254" s="170"/>
      <c r="D254" s="163" t="s">
        <v>11</v>
      </c>
      <c r="E254" s="81"/>
      <c r="G254" s="212"/>
      <c r="H254" s="166" t="e">
        <f>#REF!*E254</f>
        <v>#REF!</v>
      </c>
      <c r="I254" s="166"/>
      <c r="J254" s="98">
        <f>E254*G253</f>
        <v>0</v>
      </c>
      <c r="K254" s="99"/>
      <c r="L254" s="100"/>
    </row>
    <row r="255" spans="1:12" ht="12.75">
      <c r="B255" s="170"/>
      <c r="C255" s="170"/>
      <c r="D255" s="163" t="s">
        <v>12</v>
      </c>
      <c r="E255" s="82"/>
      <c r="G255" s="212"/>
      <c r="H255" s="166"/>
      <c r="I255" s="166" t="e">
        <f>#REF!*E255</f>
        <v>#REF!</v>
      </c>
      <c r="J255" s="101"/>
      <c r="K255" s="99"/>
      <c r="L255" s="102">
        <f>E255*G253</f>
        <v>0</v>
      </c>
    </row>
    <row r="256" spans="1:12" ht="13.5" customHeight="1">
      <c r="A256" s="191"/>
      <c r="E256" s="168"/>
      <c r="G256" s="212"/>
      <c r="I256" s="196"/>
    </row>
    <row r="257" spans="1:12" s="172" customFormat="1" ht="38.25">
      <c r="A257" s="197">
        <f>A252+1</f>
        <v>22</v>
      </c>
      <c r="B257" s="161"/>
      <c r="C257" s="161"/>
      <c r="D257" s="163"/>
      <c r="E257" s="198" t="s">
        <v>196</v>
      </c>
      <c r="F257" s="165"/>
      <c r="G257" s="212"/>
      <c r="H257" s="166"/>
      <c r="I257" s="166"/>
      <c r="J257" s="92"/>
      <c r="K257" s="93"/>
      <c r="L257" s="94"/>
    </row>
    <row r="258" spans="1:12" ht="16.5" customHeight="1">
      <c r="E258" s="195" t="s">
        <v>197</v>
      </c>
      <c r="F258" s="165" t="s">
        <v>16</v>
      </c>
      <c r="G258" s="212">
        <f>'Méret Arany J'!G51*(0.35+0.14)*0.03</f>
        <v>1.8404399999999996</v>
      </c>
      <c r="H258" s="169"/>
      <c r="I258" s="169"/>
    </row>
    <row r="259" spans="1:12" ht="12.75">
      <c r="B259" s="170"/>
      <c r="C259" s="170"/>
      <c r="D259" s="163" t="s">
        <v>11</v>
      </c>
      <c r="E259" s="81"/>
      <c r="G259" s="212"/>
      <c r="H259" s="166" t="e">
        <f>#REF!*E259</f>
        <v>#REF!</v>
      </c>
      <c r="I259" s="166"/>
      <c r="J259" s="98">
        <f>E259*G258</f>
        <v>0</v>
      </c>
      <c r="K259" s="99"/>
      <c r="L259" s="100"/>
    </row>
    <row r="260" spans="1:12" ht="12.75">
      <c r="B260" s="170"/>
      <c r="C260" s="170"/>
      <c r="D260" s="163" t="s">
        <v>12</v>
      </c>
      <c r="E260" s="82"/>
      <c r="G260" s="212"/>
      <c r="H260" s="166"/>
      <c r="I260" s="166" t="e">
        <f>#REF!*E260</f>
        <v>#REF!</v>
      </c>
      <c r="J260" s="101"/>
      <c r="K260" s="99"/>
      <c r="L260" s="102">
        <f>E260*G258</f>
        <v>0</v>
      </c>
    </row>
    <row r="261" spans="1:12" ht="13.5" customHeight="1">
      <c r="A261" s="191"/>
      <c r="E261" s="168"/>
      <c r="G261" s="212"/>
      <c r="I261" s="196"/>
    </row>
    <row r="262" spans="1:12" s="172" customFormat="1" ht="25.5">
      <c r="A262" s="197">
        <f>A257+1</f>
        <v>23</v>
      </c>
      <c r="B262" s="161"/>
      <c r="C262" s="161"/>
      <c r="D262" s="163"/>
      <c r="E262" s="198" t="s">
        <v>198</v>
      </c>
      <c r="F262" s="165"/>
      <c r="G262" s="212"/>
      <c r="H262" s="166"/>
      <c r="I262" s="166"/>
      <c r="J262" s="92"/>
      <c r="K262" s="93"/>
      <c r="L262" s="94"/>
    </row>
    <row r="263" spans="1:12" ht="16.5" customHeight="1">
      <c r="E263" s="195" t="s">
        <v>103</v>
      </c>
      <c r="F263" s="165" t="s">
        <v>60</v>
      </c>
      <c r="G263" s="212">
        <f>'Méret Arany J'!G45</f>
        <v>514</v>
      </c>
      <c r="H263" s="169"/>
      <c r="I263" s="169"/>
    </row>
    <row r="264" spans="1:12" ht="12.75">
      <c r="B264" s="170"/>
      <c r="C264" s="170"/>
      <c r="D264" s="163" t="s">
        <v>11</v>
      </c>
      <c r="E264" s="81"/>
      <c r="G264" s="212"/>
      <c r="H264" s="166" t="e">
        <f>#REF!*E264</f>
        <v>#REF!</v>
      </c>
      <c r="I264" s="166"/>
      <c r="J264" s="98">
        <f>E264*G263</f>
        <v>0</v>
      </c>
      <c r="K264" s="99"/>
      <c r="L264" s="100"/>
    </row>
    <row r="265" spans="1:12" ht="12.75">
      <c r="B265" s="170"/>
      <c r="C265" s="170"/>
      <c r="D265" s="163" t="s">
        <v>12</v>
      </c>
      <c r="E265" s="82"/>
      <c r="G265" s="212"/>
      <c r="H265" s="166"/>
      <c r="I265" s="166" t="e">
        <f>#REF!*E265</f>
        <v>#REF!</v>
      </c>
      <c r="J265" s="101"/>
      <c r="K265" s="99"/>
      <c r="L265" s="102">
        <f>E265*G263</f>
        <v>0</v>
      </c>
    </row>
    <row r="266" spans="1:12" ht="13.5" customHeight="1">
      <c r="A266" s="191"/>
      <c r="E266" s="168"/>
      <c r="G266" s="212"/>
      <c r="I266" s="196"/>
    </row>
    <row r="267" spans="1:12" s="172" customFormat="1" ht="38.25">
      <c r="A267" s="197">
        <f>A262+1</f>
        <v>24</v>
      </c>
      <c r="B267" s="161"/>
      <c r="C267" s="161"/>
      <c r="D267" s="163"/>
      <c r="E267" s="198" t="s">
        <v>199</v>
      </c>
      <c r="F267" s="165"/>
      <c r="G267" s="212"/>
      <c r="H267" s="166"/>
      <c r="I267" s="166"/>
      <c r="J267" s="92"/>
      <c r="K267" s="93"/>
      <c r="L267" s="94"/>
    </row>
    <row r="268" spans="1:12" ht="16.5" customHeight="1">
      <c r="E268" s="195" t="s">
        <v>104</v>
      </c>
      <c r="F268" s="165" t="s">
        <v>60</v>
      </c>
      <c r="G268" s="212">
        <f>'Méret Arany J'!G45+'Méret Arany J'!G44</f>
        <v>1100</v>
      </c>
      <c r="H268" s="169"/>
      <c r="I268" s="169"/>
    </row>
    <row r="269" spans="1:12" ht="12.75">
      <c r="B269" s="170"/>
      <c r="C269" s="170"/>
      <c r="D269" s="163" t="s">
        <v>11</v>
      </c>
      <c r="E269" s="81"/>
      <c r="G269" s="212"/>
      <c r="H269" s="166" t="e">
        <f>#REF!*E269</f>
        <v>#REF!</v>
      </c>
      <c r="I269" s="166"/>
      <c r="J269" s="98">
        <f>E269*G268</f>
        <v>0</v>
      </c>
      <c r="K269" s="99"/>
      <c r="L269" s="100"/>
    </row>
    <row r="270" spans="1:12" ht="12.75">
      <c r="B270" s="170"/>
      <c r="C270" s="170"/>
      <c r="D270" s="163" t="s">
        <v>12</v>
      </c>
      <c r="E270" s="82"/>
      <c r="G270" s="212"/>
      <c r="H270" s="166"/>
      <c r="I270" s="166" t="e">
        <f>#REF!*E270</f>
        <v>#REF!</v>
      </c>
      <c r="J270" s="101"/>
      <c r="K270" s="99"/>
      <c r="L270" s="102">
        <f>E270*G268</f>
        <v>0</v>
      </c>
    </row>
    <row r="271" spans="1:12" ht="13.5" customHeight="1">
      <c r="A271" s="191"/>
      <c r="E271" s="168"/>
      <c r="G271" s="212"/>
      <c r="I271" s="196"/>
    </row>
    <row r="272" spans="1:12" s="172" customFormat="1" ht="25.5">
      <c r="A272" s="197">
        <f>A267+1</f>
        <v>25</v>
      </c>
      <c r="B272" s="161"/>
      <c r="C272" s="161"/>
      <c r="D272" s="163"/>
      <c r="E272" s="198" t="s">
        <v>200</v>
      </c>
      <c r="F272" s="165"/>
      <c r="G272" s="212"/>
      <c r="H272" s="166"/>
      <c r="I272" s="166"/>
      <c r="J272" s="92"/>
      <c r="K272" s="93"/>
      <c r="L272" s="94"/>
    </row>
    <row r="273" spans="1:12" ht="16.5" customHeight="1">
      <c r="E273" s="195" t="s">
        <v>105</v>
      </c>
      <c r="F273" s="165" t="s">
        <v>16</v>
      </c>
      <c r="G273" s="213">
        <f>G268*0.04*0.02</f>
        <v>0.88</v>
      </c>
      <c r="H273" s="169"/>
      <c r="I273" s="169"/>
    </row>
    <row r="274" spans="1:12" ht="12.75">
      <c r="B274" s="170"/>
      <c r="C274" s="170"/>
      <c r="D274" s="163" t="s">
        <v>11</v>
      </c>
      <c r="E274" s="81"/>
      <c r="G274" s="212"/>
      <c r="H274" s="166" t="e">
        <f>#REF!*E274</f>
        <v>#REF!</v>
      </c>
      <c r="I274" s="166"/>
      <c r="J274" s="98">
        <f>E274*G273</f>
        <v>0</v>
      </c>
      <c r="K274" s="99"/>
      <c r="L274" s="100"/>
    </row>
    <row r="275" spans="1:12" ht="12.75">
      <c r="B275" s="170"/>
      <c r="C275" s="170"/>
      <c r="D275" s="163" t="s">
        <v>12</v>
      </c>
      <c r="E275" s="82"/>
      <c r="G275" s="212"/>
      <c r="H275" s="166"/>
      <c r="I275" s="166" t="e">
        <f>#REF!*E275</f>
        <v>#REF!</v>
      </c>
      <c r="J275" s="101"/>
      <c r="K275" s="99"/>
      <c r="L275" s="102">
        <f>E275*G273</f>
        <v>0</v>
      </c>
    </row>
    <row r="276" spans="1:12" ht="13.5" customHeight="1">
      <c r="A276" s="191"/>
      <c r="E276" s="168"/>
      <c r="G276" s="212"/>
      <c r="I276" s="196"/>
    </row>
    <row r="277" spans="1:12" s="172" customFormat="1" ht="38.25">
      <c r="A277" s="197">
        <f>A272+1</f>
        <v>26</v>
      </c>
      <c r="B277" s="161"/>
      <c r="C277" s="161"/>
      <c r="D277" s="163"/>
      <c r="E277" s="198" t="s">
        <v>201</v>
      </c>
      <c r="F277" s="165"/>
      <c r="G277" s="212"/>
      <c r="H277" s="166"/>
      <c r="I277" s="166"/>
      <c r="J277" s="92"/>
      <c r="K277" s="93"/>
      <c r="L277" s="94"/>
    </row>
    <row r="278" spans="1:12" ht="16.5" customHeight="1">
      <c r="E278" s="195" t="s">
        <v>106</v>
      </c>
      <c r="F278" s="165" t="s">
        <v>17</v>
      </c>
      <c r="G278" s="212">
        <f>'Méret Arany J'!G44*0.6</f>
        <v>351.59999999999997</v>
      </c>
      <c r="H278" s="169"/>
      <c r="I278" s="169"/>
    </row>
    <row r="279" spans="1:12" ht="12.75">
      <c r="B279" s="170"/>
      <c r="C279" s="170"/>
      <c r="D279" s="163" t="s">
        <v>11</v>
      </c>
      <c r="E279" s="81"/>
      <c r="G279" s="212"/>
      <c r="H279" s="166" t="e">
        <f>#REF!*E279</f>
        <v>#REF!</v>
      </c>
      <c r="I279" s="166"/>
      <c r="J279" s="98">
        <f>E279*G278</f>
        <v>0</v>
      </c>
      <c r="K279" s="99"/>
      <c r="L279" s="100"/>
    </row>
    <row r="280" spans="1:12" ht="12.75">
      <c r="B280" s="170"/>
      <c r="C280" s="170"/>
      <c r="D280" s="163" t="s">
        <v>12</v>
      </c>
      <c r="E280" s="82"/>
      <c r="G280" s="212"/>
      <c r="H280" s="166"/>
      <c r="I280" s="166" t="e">
        <f>#REF!*E280</f>
        <v>#REF!</v>
      </c>
      <c r="J280" s="101"/>
      <c r="K280" s="99"/>
      <c r="L280" s="102">
        <f>E280*G278</f>
        <v>0</v>
      </c>
    </row>
    <row r="281" spans="1:12" ht="4.5" customHeight="1">
      <c r="A281" s="191"/>
      <c r="E281" s="224"/>
      <c r="G281" s="212"/>
      <c r="I281" s="196"/>
    </row>
    <row r="282" spans="1:12" s="172" customFormat="1" ht="25.5">
      <c r="A282" s="197">
        <f>A277+1</f>
        <v>27</v>
      </c>
      <c r="B282" s="161"/>
      <c r="C282" s="161"/>
      <c r="D282" s="163"/>
      <c r="E282" s="198" t="s">
        <v>203</v>
      </c>
      <c r="F282" s="165"/>
      <c r="G282" s="212"/>
      <c r="H282" s="166"/>
      <c r="I282" s="166"/>
      <c r="J282" s="92"/>
      <c r="K282" s="93"/>
      <c r="L282" s="94"/>
    </row>
    <row r="283" spans="1:12" ht="16.5" customHeight="1">
      <c r="E283" s="195" t="s">
        <v>202</v>
      </c>
      <c r="F283" s="165" t="s">
        <v>16</v>
      </c>
      <c r="G283" s="212">
        <f>'Méret Arany J'!G8*0.2</f>
        <v>17</v>
      </c>
      <c r="H283" s="169"/>
      <c r="I283" s="169"/>
    </row>
    <row r="284" spans="1:12" ht="12.75">
      <c r="B284" s="170"/>
      <c r="C284" s="170"/>
      <c r="D284" s="163" t="s">
        <v>11</v>
      </c>
      <c r="E284" s="81"/>
      <c r="G284" s="212"/>
      <c r="H284" s="166" t="e">
        <f>#REF!*E284</f>
        <v>#REF!</v>
      </c>
      <c r="I284" s="166"/>
      <c r="J284" s="98">
        <f>E284*G283</f>
        <v>0</v>
      </c>
      <c r="K284" s="99"/>
      <c r="L284" s="100"/>
    </row>
    <row r="285" spans="1:12" ht="12.75">
      <c r="B285" s="170"/>
      <c r="C285" s="170"/>
      <c r="D285" s="163" t="s">
        <v>12</v>
      </c>
      <c r="E285" s="82"/>
      <c r="G285" s="212"/>
      <c r="H285" s="166"/>
      <c r="I285" s="166" t="e">
        <f>#REF!*E285</f>
        <v>#REF!</v>
      </c>
      <c r="J285" s="101"/>
      <c r="K285" s="99"/>
      <c r="L285" s="102">
        <f>E285*G283</f>
        <v>0</v>
      </c>
    </row>
    <row r="286" spans="1:12" ht="4.5" customHeight="1">
      <c r="A286" s="191"/>
      <c r="E286" s="224"/>
      <c r="G286" s="212"/>
      <c r="I286" s="196"/>
    </row>
    <row r="287" spans="1:12" s="172" customFormat="1" ht="25.5">
      <c r="A287" s="197">
        <f>A282+1</f>
        <v>28</v>
      </c>
      <c r="B287" s="161"/>
      <c r="C287" s="161"/>
      <c r="D287" s="163"/>
      <c r="E287" s="198" t="s">
        <v>204</v>
      </c>
      <c r="F287" s="165"/>
      <c r="G287" s="212"/>
      <c r="H287" s="166"/>
      <c r="I287" s="166"/>
      <c r="J287" s="92"/>
      <c r="K287" s="93"/>
      <c r="L287" s="94"/>
    </row>
    <row r="288" spans="1:12" ht="16.5" customHeight="1">
      <c r="E288" s="195" t="s">
        <v>205</v>
      </c>
      <c r="F288" s="165" t="s">
        <v>16</v>
      </c>
      <c r="G288" s="212">
        <f>('Méret Arany J'!G9+'Méret Arany J'!G10+'Méret Arany J'!G11)*0.3+('Méret Arany J'!G13+'Méret Arany J'!G14+'Méret Arany J'!G15)*0.3*0.5</f>
        <v>339.39</v>
      </c>
      <c r="H288" s="169"/>
      <c r="I288" s="169"/>
    </row>
    <row r="289" spans="1:12" ht="12.75">
      <c r="B289" s="170"/>
      <c r="C289" s="170"/>
      <c r="D289" s="163" t="s">
        <v>11</v>
      </c>
      <c r="E289" s="81"/>
      <c r="G289" s="212"/>
      <c r="H289" s="166" t="e">
        <f>#REF!*E289</f>
        <v>#REF!</v>
      </c>
      <c r="I289" s="166"/>
      <c r="J289" s="98">
        <f>E289*G288</f>
        <v>0</v>
      </c>
      <c r="K289" s="99"/>
      <c r="L289" s="100"/>
    </row>
    <row r="290" spans="1:12" ht="12.75">
      <c r="B290" s="170"/>
      <c r="C290" s="170"/>
      <c r="D290" s="163" t="s">
        <v>12</v>
      </c>
      <c r="E290" s="82"/>
      <c r="G290" s="212"/>
      <c r="H290" s="166"/>
      <c r="I290" s="166" t="e">
        <f>#REF!*E290</f>
        <v>#REF!</v>
      </c>
      <c r="J290" s="101"/>
      <c r="K290" s="99"/>
      <c r="L290" s="102">
        <f>E290*G288</f>
        <v>0</v>
      </c>
    </row>
    <row r="291" spans="1:12" ht="13.5" customHeight="1">
      <c r="A291" s="191"/>
      <c r="E291" s="224"/>
      <c r="G291" s="91"/>
      <c r="I291" s="196"/>
    </row>
    <row r="292" spans="1:12" ht="18.75">
      <c r="B292" s="147" t="s">
        <v>19</v>
      </c>
      <c r="C292" s="186"/>
      <c r="D292" s="149"/>
      <c r="E292" s="267"/>
      <c r="F292" s="189" t="s">
        <v>18</v>
      </c>
      <c r="G292" s="212"/>
      <c r="H292" s="199" t="e">
        <f>SUM(#REF!)</f>
        <v>#REF!</v>
      </c>
      <c r="I292" s="199" t="e">
        <f>SUM(#REF!)</f>
        <v>#REF!</v>
      </c>
      <c r="J292" s="114">
        <f>SUM(J152:J291)</f>
        <v>0</v>
      </c>
      <c r="L292" s="114">
        <f>SUM(L152:L291)</f>
        <v>0</v>
      </c>
    </row>
    <row r="293" spans="1:12" ht="16.5" customHeight="1">
      <c r="B293" s="156"/>
      <c r="C293" s="156"/>
      <c r="D293" s="157"/>
      <c r="E293" s="200"/>
      <c r="F293" s="190"/>
      <c r="G293" s="212"/>
      <c r="H293" s="153"/>
      <c r="I293" s="153"/>
    </row>
    <row r="294" spans="1:12" ht="16.5" customHeight="1">
      <c r="B294" s="147" t="s">
        <v>20</v>
      </c>
      <c r="C294" s="148"/>
      <c r="D294" s="149"/>
      <c r="E294" s="267"/>
      <c r="F294" s="151"/>
      <c r="G294" s="212"/>
    </row>
    <row r="295" spans="1:12" ht="6" customHeight="1">
      <c r="E295" s="168"/>
      <c r="G295" s="212"/>
      <c r="I295" s="196"/>
    </row>
    <row r="296" spans="1:12" ht="39.75" customHeight="1">
      <c r="A296" s="191">
        <v>1</v>
      </c>
      <c r="B296" s="192"/>
      <c r="C296" s="192"/>
      <c r="E296" s="198" t="s">
        <v>209</v>
      </c>
      <c r="G296" s="212"/>
      <c r="H296" s="193"/>
      <c r="I296" s="193"/>
    </row>
    <row r="297" spans="1:12" ht="12.75">
      <c r="E297" s="195" t="s">
        <v>206</v>
      </c>
      <c r="F297" s="165" t="s">
        <v>13</v>
      </c>
      <c r="G297" s="212">
        <f>'Méret Arany J'!G30</f>
        <v>8</v>
      </c>
      <c r="H297" s="169"/>
      <c r="I297" s="169"/>
    </row>
    <row r="298" spans="1:12" ht="12.75">
      <c r="B298" s="170"/>
      <c r="C298" s="170"/>
      <c r="D298" s="163" t="s">
        <v>11</v>
      </c>
      <c r="E298" s="81"/>
      <c r="G298" s="212"/>
      <c r="H298" s="166" t="e">
        <f>#REF!*E298</f>
        <v>#REF!</v>
      </c>
      <c r="I298" s="166"/>
      <c r="J298" s="98">
        <f>E298*G297</f>
        <v>0</v>
      </c>
      <c r="K298" s="99"/>
      <c r="L298" s="100"/>
    </row>
    <row r="299" spans="1:12" ht="12.75">
      <c r="B299" s="170"/>
      <c r="C299" s="170"/>
      <c r="D299" s="163" t="s">
        <v>12</v>
      </c>
      <c r="E299" s="82"/>
      <c r="G299" s="212"/>
      <c r="H299" s="166"/>
      <c r="I299" s="166" t="e">
        <f>#REF!*E299</f>
        <v>#REF!</v>
      </c>
      <c r="J299" s="101"/>
      <c r="K299" s="99"/>
      <c r="L299" s="102">
        <f>E299*G297</f>
        <v>0</v>
      </c>
    </row>
    <row r="300" spans="1:12" ht="6" customHeight="1">
      <c r="E300" s="168"/>
      <c r="G300" s="212"/>
      <c r="I300" s="196"/>
    </row>
    <row r="301" spans="1:12" ht="12.75">
      <c r="A301" s="191">
        <f>1+A296</f>
        <v>2</v>
      </c>
      <c r="B301" s="192"/>
      <c r="C301" s="192"/>
      <c r="E301" s="198" t="s">
        <v>210</v>
      </c>
      <c r="G301" s="212"/>
      <c r="H301" s="193"/>
      <c r="I301" s="193"/>
    </row>
    <row r="302" spans="1:12" ht="12.75">
      <c r="E302" s="195" t="s">
        <v>207</v>
      </c>
      <c r="F302" s="165" t="s">
        <v>13</v>
      </c>
      <c r="G302" s="212">
        <f>'Méret Arany J'!G32</f>
        <v>2</v>
      </c>
      <c r="H302" s="169"/>
      <c r="I302" s="169"/>
    </row>
    <row r="303" spans="1:12" ht="12.75">
      <c r="B303" s="170"/>
      <c r="C303" s="170"/>
      <c r="D303" s="163" t="s">
        <v>11</v>
      </c>
      <c r="E303" s="81"/>
      <c r="G303" s="212"/>
      <c r="H303" s="166" t="e">
        <f>#REF!*E303</f>
        <v>#REF!</v>
      </c>
      <c r="I303" s="166"/>
      <c r="J303" s="98">
        <f>E303*G302</f>
        <v>0</v>
      </c>
      <c r="K303" s="99"/>
      <c r="L303" s="100"/>
    </row>
    <row r="304" spans="1:12" ht="12.75">
      <c r="B304" s="170"/>
      <c r="C304" s="170"/>
      <c r="D304" s="163" t="s">
        <v>12</v>
      </c>
      <c r="E304" s="82"/>
      <c r="G304" s="212"/>
      <c r="H304" s="166"/>
      <c r="I304" s="166" t="e">
        <f>#REF!*E304</f>
        <v>#REF!</v>
      </c>
      <c r="J304" s="101"/>
      <c r="K304" s="99"/>
      <c r="L304" s="102">
        <f>E304*G302</f>
        <v>0</v>
      </c>
    </row>
    <row r="305" spans="1:12" ht="6" customHeight="1">
      <c r="E305" s="168"/>
      <c r="G305" s="212"/>
      <c r="I305" s="196"/>
    </row>
    <row r="306" spans="1:12" ht="12.75">
      <c r="A306" s="191">
        <f>1+A301</f>
        <v>3</v>
      </c>
      <c r="B306" s="192"/>
      <c r="C306" s="192"/>
      <c r="E306" s="198" t="s">
        <v>211</v>
      </c>
      <c r="G306" s="212"/>
      <c r="H306" s="193"/>
      <c r="I306" s="193"/>
    </row>
    <row r="307" spans="1:12" ht="12.75">
      <c r="E307" s="268" t="s">
        <v>208</v>
      </c>
      <c r="F307" s="165" t="s">
        <v>13</v>
      </c>
      <c r="G307" s="212">
        <f>'Méret Arany J'!G33</f>
        <v>1</v>
      </c>
      <c r="H307" s="169"/>
      <c r="I307" s="169"/>
    </row>
    <row r="308" spans="1:12" ht="12.75">
      <c r="B308" s="170"/>
      <c r="C308" s="170"/>
      <c r="D308" s="163" t="s">
        <v>11</v>
      </c>
      <c r="E308" s="81"/>
      <c r="G308" s="212"/>
      <c r="H308" s="166" t="e">
        <f>#REF!*E308</f>
        <v>#REF!</v>
      </c>
      <c r="I308" s="166"/>
      <c r="J308" s="98">
        <f>E308*G307</f>
        <v>0</v>
      </c>
      <c r="K308" s="99"/>
      <c r="L308" s="100"/>
    </row>
    <row r="309" spans="1:12" ht="12.75">
      <c r="B309" s="170"/>
      <c r="C309" s="170"/>
      <c r="D309" s="163" t="s">
        <v>12</v>
      </c>
      <c r="E309" s="82"/>
      <c r="G309" s="212"/>
      <c r="H309" s="166"/>
      <c r="I309" s="166" t="e">
        <f>#REF!*E309</f>
        <v>#REF!</v>
      </c>
      <c r="J309" s="101"/>
      <c r="K309" s="99"/>
      <c r="L309" s="102">
        <f>E309*G307</f>
        <v>0</v>
      </c>
    </row>
    <row r="310" spans="1:12" ht="6" customHeight="1">
      <c r="E310" s="168"/>
      <c r="G310" s="212"/>
      <c r="I310" s="196"/>
    </row>
    <row r="311" spans="1:12" ht="12.75">
      <c r="A311" s="191">
        <f>A306+1</f>
        <v>4</v>
      </c>
      <c r="B311" s="192"/>
      <c r="C311" s="192"/>
      <c r="E311" s="198" t="s">
        <v>113</v>
      </c>
      <c r="G311" s="212"/>
      <c r="H311" s="193"/>
      <c r="I311" s="193"/>
    </row>
    <row r="312" spans="1:12" ht="12.75">
      <c r="E312" s="195"/>
      <c r="F312" s="165" t="s">
        <v>13</v>
      </c>
      <c r="G312" s="212">
        <f>'Méret Arany J'!G36</f>
        <v>20</v>
      </c>
      <c r="H312" s="169"/>
      <c r="I312" s="169"/>
    </row>
    <row r="313" spans="1:12" ht="12.75">
      <c r="B313" s="170"/>
      <c r="C313" s="170"/>
      <c r="D313" s="163" t="s">
        <v>11</v>
      </c>
      <c r="E313" s="81"/>
      <c r="G313" s="212"/>
      <c r="H313" s="166" t="e">
        <f>#REF!*E313</f>
        <v>#REF!</v>
      </c>
      <c r="I313" s="166"/>
      <c r="J313" s="98">
        <f>E313*G312</f>
        <v>0</v>
      </c>
      <c r="K313" s="99"/>
      <c r="L313" s="100"/>
    </row>
    <row r="314" spans="1:12" ht="12.75">
      <c r="B314" s="170"/>
      <c r="C314" s="170"/>
      <c r="D314" s="163" t="s">
        <v>12</v>
      </c>
      <c r="E314" s="82">
        <v>0</v>
      </c>
      <c r="G314" s="212"/>
      <c r="H314" s="166"/>
      <c r="I314" s="166" t="e">
        <f>#REF!*E314</f>
        <v>#REF!</v>
      </c>
      <c r="J314" s="101"/>
      <c r="K314" s="99"/>
      <c r="L314" s="102">
        <f>E314*G312</f>
        <v>0</v>
      </c>
    </row>
    <row r="315" spans="1:12" ht="6" customHeight="1">
      <c r="E315" s="168"/>
      <c r="G315" s="212"/>
      <c r="I315" s="196"/>
    </row>
    <row r="316" spans="1:12" ht="12.75">
      <c r="A316" s="191">
        <f>1+A311</f>
        <v>5</v>
      </c>
      <c r="B316" s="192"/>
      <c r="C316" s="192"/>
      <c r="E316" s="198" t="s">
        <v>212</v>
      </c>
      <c r="G316" s="212"/>
      <c r="H316" s="193"/>
      <c r="I316" s="193"/>
    </row>
    <row r="317" spans="1:12" ht="12.75">
      <c r="E317" s="195" t="s">
        <v>107</v>
      </c>
      <c r="F317" s="165" t="s">
        <v>13</v>
      </c>
      <c r="G317" s="212">
        <f>'Méret Arany J'!G38</f>
        <v>14</v>
      </c>
      <c r="H317" s="169"/>
      <c r="I317" s="169"/>
    </row>
    <row r="318" spans="1:12" ht="12.75">
      <c r="B318" s="170"/>
      <c r="C318" s="170"/>
      <c r="D318" s="163" t="s">
        <v>11</v>
      </c>
      <c r="E318" s="81"/>
      <c r="G318" s="212"/>
      <c r="H318" s="166" t="e">
        <f>#REF!*E318</f>
        <v>#REF!</v>
      </c>
      <c r="I318" s="166"/>
      <c r="J318" s="98">
        <f>E318*G317</f>
        <v>0</v>
      </c>
      <c r="K318" s="99"/>
      <c r="L318" s="100"/>
    </row>
    <row r="319" spans="1:12" ht="12.75">
      <c r="B319" s="170"/>
      <c r="C319" s="170"/>
      <c r="D319" s="163" t="s">
        <v>12</v>
      </c>
      <c r="E319" s="82"/>
      <c r="G319" s="212"/>
      <c r="H319" s="166"/>
      <c r="I319" s="166" t="e">
        <f>#REF!*E319</f>
        <v>#REF!</v>
      </c>
      <c r="J319" s="101"/>
      <c r="K319" s="99"/>
      <c r="L319" s="102">
        <f>E319*G317</f>
        <v>0</v>
      </c>
    </row>
    <row r="320" spans="1:12" ht="6" customHeight="1">
      <c r="E320" s="168"/>
      <c r="G320" s="212"/>
      <c r="I320" s="196"/>
    </row>
    <row r="321" spans="1:12" ht="12.75">
      <c r="A321" s="191">
        <f>1+A316</f>
        <v>6</v>
      </c>
      <c r="B321" s="192"/>
      <c r="C321" s="192"/>
      <c r="E321" s="198" t="s">
        <v>212</v>
      </c>
      <c r="G321" s="212"/>
      <c r="H321" s="193"/>
      <c r="I321" s="193"/>
    </row>
    <row r="322" spans="1:12" ht="12.75">
      <c r="E322" s="195" t="s">
        <v>108</v>
      </c>
      <c r="F322" s="165" t="s">
        <v>13</v>
      </c>
      <c r="G322" s="212">
        <f>'Méret Arany J'!G39</f>
        <v>19</v>
      </c>
      <c r="H322" s="169"/>
      <c r="I322" s="169"/>
    </row>
    <row r="323" spans="1:12" ht="12.75">
      <c r="B323" s="170"/>
      <c r="C323" s="170"/>
      <c r="D323" s="163" t="s">
        <v>11</v>
      </c>
      <c r="E323" s="81"/>
      <c r="G323" s="212"/>
      <c r="H323" s="166" t="e">
        <f>#REF!*E323</f>
        <v>#REF!</v>
      </c>
      <c r="I323" s="166"/>
      <c r="J323" s="98">
        <f>E323*G322</f>
        <v>0</v>
      </c>
      <c r="K323" s="99"/>
      <c r="L323" s="100"/>
    </row>
    <row r="324" spans="1:12" ht="12.75">
      <c r="B324" s="170"/>
      <c r="C324" s="170"/>
      <c r="D324" s="163" t="s">
        <v>12</v>
      </c>
      <c r="E324" s="82"/>
      <c r="G324" s="212"/>
      <c r="H324" s="166"/>
      <c r="I324" s="166" t="e">
        <f>#REF!*E324</f>
        <v>#REF!</v>
      </c>
      <c r="J324" s="101"/>
      <c r="K324" s="99"/>
      <c r="L324" s="102">
        <f>E324*G322</f>
        <v>0</v>
      </c>
    </row>
    <row r="325" spans="1:12" ht="6" customHeight="1">
      <c r="E325" s="168"/>
      <c r="G325" s="212"/>
      <c r="I325" s="196"/>
    </row>
    <row r="326" spans="1:12" ht="12.75">
      <c r="A326" s="191">
        <f>1+A321</f>
        <v>7</v>
      </c>
      <c r="B326" s="192"/>
      <c r="C326" s="192"/>
      <c r="E326" s="198" t="s">
        <v>215</v>
      </c>
      <c r="G326" s="212"/>
      <c r="H326" s="193"/>
      <c r="I326" s="193"/>
    </row>
    <row r="327" spans="1:12" ht="12.75">
      <c r="E327" s="195" t="s">
        <v>216</v>
      </c>
      <c r="F327" s="165" t="s">
        <v>60</v>
      </c>
      <c r="G327" s="212">
        <v>240</v>
      </c>
      <c r="H327" s="169"/>
      <c r="I327" s="169"/>
    </row>
    <row r="328" spans="1:12" ht="12.75">
      <c r="B328" s="170"/>
      <c r="C328" s="170"/>
      <c r="D328" s="163" t="s">
        <v>11</v>
      </c>
      <c r="E328" s="81"/>
      <c r="G328" s="212"/>
      <c r="H328" s="166" t="e">
        <f>#REF!*E328</f>
        <v>#REF!</v>
      </c>
      <c r="I328" s="166"/>
      <c r="J328" s="98">
        <f>E328*G327</f>
        <v>0</v>
      </c>
      <c r="K328" s="99"/>
      <c r="L328" s="100"/>
    </row>
    <row r="329" spans="1:12" ht="12.75">
      <c r="B329" s="170"/>
      <c r="C329" s="170"/>
      <c r="D329" s="163" t="s">
        <v>12</v>
      </c>
      <c r="E329" s="82"/>
      <c r="G329" s="212"/>
      <c r="H329" s="166"/>
      <c r="I329" s="166" t="e">
        <f>#REF!*E329</f>
        <v>#REF!</v>
      </c>
      <c r="J329" s="101"/>
      <c r="K329" s="99"/>
      <c r="L329" s="102">
        <f>E329*G327</f>
        <v>0</v>
      </c>
    </row>
    <row r="330" spans="1:12" ht="6" customHeight="1">
      <c r="E330" s="168"/>
      <c r="G330" s="212"/>
      <c r="I330" s="196"/>
    </row>
    <row r="331" spans="1:12" ht="25.5">
      <c r="A331" s="191">
        <f>1+A326</f>
        <v>8</v>
      </c>
      <c r="B331" s="192"/>
      <c r="C331" s="192"/>
      <c r="E331" s="198" t="s">
        <v>218</v>
      </c>
      <c r="G331" s="212"/>
      <c r="H331" s="193"/>
      <c r="I331" s="193"/>
    </row>
    <row r="332" spans="1:12" ht="12.75">
      <c r="E332" s="195" t="s">
        <v>217</v>
      </c>
      <c r="F332" s="165" t="s">
        <v>60</v>
      </c>
      <c r="G332" s="212">
        <f>G327*2</f>
        <v>480</v>
      </c>
      <c r="H332" s="169"/>
      <c r="I332" s="169"/>
    </row>
    <row r="333" spans="1:12" ht="12.75">
      <c r="B333" s="170"/>
      <c r="C333" s="170"/>
      <c r="D333" s="163" t="s">
        <v>11</v>
      </c>
      <c r="E333" s="81"/>
      <c r="G333" s="212"/>
      <c r="H333" s="166" t="e">
        <f>#REF!*E333</f>
        <v>#REF!</v>
      </c>
      <c r="I333" s="166"/>
      <c r="J333" s="98">
        <f>E333*G332</f>
        <v>0</v>
      </c>
      <c r="K333" s="99"/>
      <c r="L333" s="100"/>
    </row>
    <row r="334" spans="1:12" ht="12.75">
      <c r="B334" s="170"/>
      <c r="C334" s="170"/>
      <c r="D334" s="163" t="s">
        <v>12</v>
      </c>
      <c r="E334" s="82"/>
      <c r="G334" s="212"/>
      <c r="H334" s="166"/>
      <c r="I334" s="166" t="e">
        <f>#REF!*E334</f>
        <v>#REF!</v>
      </c>
      <c r="J334" s="101"/>
      <c r="K334" s="99"/>
      <c r="L334" s="102">
        <f>E334*G332</f>
        <v>0</v>
      </c>
    </row>
    <row r="335" spans="1:12" ht="6" customHeight="1">
      <c r="E335" s="168"/>
      <c r="G335" s="212"/>
      <c r="I335" s="196"/>
    </row>
    <row r="336" spans="1:12" ht="25.5">
      <c r="A336" s="191">
        <f>1+A331</f>
        <v>9</v>
      </c>
      <c r="B336" s="192"/>
      <c r="C336" s="192"/>
      <c r="E336" s="198" t="s">
        <v>219</v>
      </c>
      <c r="G336" s="212"/>
      <c r="H336" s="193"/>
      <c r="I336" s="193"/>
    </row>
    <row r="337" spans="1:12" ht="12.75">
      <c r="E337" s="195"/>
      <c r="F337" s="165" t="s">
        <v>13</v>
      </c>
      <c r="G337" s="212">
        <v>5</v>
      </c>
      <c r="H337" s="169"/>
      <c r="I337" s="169"/>
    </row>
    <row r="338" spans="1:12" ht="12.75">
      <c r="B338" s="170"/>
      <c r="C338" s="170"/>
      <c r="D338" s="163" t="s">
        <v>11</v>
      </c>
      <c r="E338" s="81">
        <v>0</v>
      </c>
      <c r="G338" s="212"/>
      <c r="H338" s="166" t="e">
        <f>#REF!*E338</f>
        <v>#REF!</v>
      </c>
      <c r="I338" s="166"/>
      <c r="J338" s="98">
        <f>E338*G337</f>
        <v>0</v>
      </c>
      <c r="K338" s="99"/>
      <c r="L338" s="100"/>
    </row>
    <row r="339" spans="1:12" ht="12.75">
      <c r="B339" s="170"/>
      <c r="C339" s="170"/>
      <c r="D339" s="163" t="s">
        <v>12</v>
      </c>
      <c r="E339" s="82">
        <v>0</v>
      </c>
      <c r="G339" s="212"/>
      <c r="H339" s="166"/>
      <c r="I339" s="166" t="e">
        <f>#REF!*E339</f>
        <v>#REF!</v>
      </c>
      <c r="J339" s="101"/>
      <c r="K339" s="99"/>
      <c r="L339" s="102">
        <f>E339*G337</f>
        <v>0</v>
      </c>
    </row>
    <row r="340" spans="1:12" s="201" customFormat="1" ht="9" customHeight="1">
      <c r="A340" s="123"/>
      <c r="B340" s="170"/>
      <c r="C340" s="170"/>
      <c r="D340" s="163"/>
      <c r="E340" s="200"/>
      <c r="F340" s="165"/>
      <c r="G340" s="91"/>
      <c r="H340" s="166"/>
      <c r="I340" s="166"/>
      <c r="J340" s="101"/>
      <c r="K340" s="99"/>
      <c r="L340" s="102"/>
    </row>
    <row r="341" spans="1:12" s="201" customFormat="1" ht="18.75">
      <c r="A341" s="123"/>
      <c r="B341" s="147" t="s">
        <v>20</v>
      </c>
      <c r="C341" s="186"/>
      <c r="D341" s="149"/>
      <c r="E341" s="150"/>
      <c r="F341" s="189" t="s">
        <v>18</v>
      </c>
      <c r="G341" s="91"/>
      <c r="H341" s="199" t="e">
        <f>SUM(#REF!)</f>
        <v>#REF!</v>
      </c>
      <c r="I341" s="199" t="e">
        <f>SUM(#REF!)</f>
        <v>#REF!</v>
      </c>
      <c r="J341" s="111">
        <f>SUM(J296:J340)</f>
        <v>0</v>
      </c>
      <c r="K341" s="96"/>
      <c r="L341" s="111">
        <f>SUM(L296:L340)</f>
        <v>0</v>
      </c>
    </row>
    <row r="342" spans="1:12" s="201" customFormat="1" ht="3" customHeight="1" thickBot="1">
      <c r="A342" s="123"/>
      <c r="B342" s="156"/>
      <c r="C342" s="137"/>
      <c r="D342" s="157"/>
      <c r="E342" s="150"/>
      <c r="F342" s="202"/>
      <c r="G342" s="91"/>
      <c r="H342" s="199"/>
      <c r="I342" s="199"/>
      <c r="J342" s="115"/>
      <c r="K342" s="96"/>
      <c r="L342" s="116"/>
    </row>
    <row r="343" spans="1:12" s="201" customFormat="1" ht="21" thickBot="1">
      <c r="A343" s="191"/>
      <c r="B343" s="192"/>
      <c r="C343" s="192"/>
      <c r="D343" s="167"/>
      <c r="E343" s="296" t="s">
        <v>213</v>
      </c>
      <c r="F343" s="297"/>
      <c r="G343" s="91"/>
      <c r="H343" s="203" t="e">
        <f>SUM(#REF!,H292,H148,#REF!,H43)</f>
        <v>#REF!</v>
      </c>
      <c r="I343" s="203" t="e">
        <f>SUM(#REF!,I292,I148,#REF!,I43)</f>
        <v>#REF!</v>
      </c>
      <c r="J343" s="117">
        <f>J341+J292+J148+J98+J43</f>
        <v>0</v>
      </c>
      <c r="K343" s="118"/>
      <c r="L343" s="119">
        <f>L341+L292+L148+L98+L43</f>
        <v>0</v>
      </c>
    </row>
    <row r="344" spans="1:12" s="201" customFormat="1" ht="3" customHeight="1" thickBot="1">
      <c r="A344" s="191"/>
      <c r="B344" s="192"/>
      <c r="C344" s="192"/>
      <c r="D344" s="167"/>
      <c r="E344" s="204"/>
      <c r="F344" s="205"/>
      <c r="G344" s="91"/>
      <c r="H344" s="203"/>
      <c r="I344" s="203"/>
      <c r="J344" s="120"/>
      <c r="K344" s="121"/>
      <c r="L344" s="108"/>
    </row>
    <row r="345" spans="1:12" s="201" customFormat="1" ht="23.25" thickBot="1">
      <c r="A345" s="191"/>
      <c r="B345" s="192"/>
      <c r="C345" s="192"/>
      <c r="D345" s="167"/>
      <c r="E345" s="206"/>
      <c r="F345" s="207"/>
      <c r="G345" s="91"/>
      <c r="H345" s="203"/>
      <c r="I345" s="203"/>
      <c r="J345" s="293">
        <f>J343+L343</f>
        <v>0</v>
      </c>
      <c r="K345" s="294"/>
      <c r="L345" s="295"/>
    </row>
    <row r="346" spans="1:12" s="201" customFormat="1" ht="6" customHeight="1">
      <c r="A346" s="172"/>
      <c r="B346" s="208"/>
      <c r="C346" s="208"/>
      <c r="D346" s="163"/>
      <c r="E346" s="158"/>
      <c r="F346" s="159"/>
      <c r="G346" s="91"/>
      <c r="H346" s="166"/>
      <c r="I346" s="93"/>
      <c r="J346" s="101"/>
      <c r="K346" s="209"/>
      <c r="L346" s="108"/>
    </row>
    <row r="347" spans="1:12" s="201" customFormat="1" ht="16.5" customHeight="1">
      <c r="A347" s="289"/>
      <c r="B347" s="289"/>
      <c r="C347" s="289"/>
      <c r="D347" s="289"/>
      <c r="E347" s="289"/>
      <c r="F347" s="289"/>
      <c r="G347" s="289"/>
      <c r="H347" s="289"/>
      <c r="I347" s="289"/>
      <c r="J347" s="289"/>
      <c r="K347" s="289"/>
      <c r="L347" s="289"/>
    </row>
    <row r="348" spans="1:12" s="201" customFormat="1" ht="6" customHeight="1">
      <c r="A348" s="172"/>
      <c r="B348" s="208"/>
      <c r="C348" s="208"/>
      <c r="D348" s="163"/>
      <c r="E348" s="173"/>
      <c r="F348" s="165"/>
      <c r="G348" s="122"/>
      <c r="H348" s="174"/>
      <c r="I348" s="174"/>
      <c r="J348" s="92"/>
      <c r="K348" s="93"/>
      <c r="L348" s="97"/>
    </row>
    <row r="349" spans="1:12" s="201" customFormat="1">
      <c r="A349" s="172"/>
      <c r="B349" s="208"/>
      <c r="C349" s="208"/>
      <c r="D349" s="163"/>
      <c r="E349" s="173"/>
      <c r="F349" s="165"/>
      <c r="G349" s="122"/>
      <c r="H349" s="174"/>
      <c r="I349" s="174"/>
      <c r="J349" s="92"/>
      <c r="K349" s="93"/>
      <c r="L349" s="97"/>
    </row>
    <row r="350" spans="1:12" s="201" customFormat="1">
      <c r="A350" s="172"/>
      <c r="B350" s="208"/>
      <c r="C350" s="208"/>
      <c r="D350" s="163"/>
      <c r="E350" s="173"/>
      <c r="F350" s="165"/>
      <c r="G350" s="122"/>
      <c r="H350" s="174"/>
      <c r="I350" s="174"/>
      <c r="J350" s="92"/>
      <c r="K350" s="93"/>
      <c r="L350" s="97"/>
    </row>
    <row r="351" spans="1:12" s="201" customFormat="1" ht="16.5" customHeight="1">
      <c r="A351" s="172"/>
      <c r="B351" s="208"/>
      <c r="C351" s="208"/>
      <c r="D351" s="163"/>
      <c r="E351" s="173"/>
      <c r="F351" s="165"/>
      <c r="G351" s="122"/>
      <c r="H351" s="174"/>
      <c r="I351" s="174"/>
      <c r="J351" s="92"/>
      <c r="K351" s="93"/>
      <c r="L351" s="97"/>
    </row>
    <row r="352" spans="1:12" s="201" customFormat="1" ht="16.5" customHeight="1">
      <c r="A352" s="172"/>
      <c r="B352" s="208"/>
      <c r="C352" s="208"/>
      <c r="D352" s="163"/>
      <c r="E352" s="173"/>
      <c r="F352" s="165"/>
      <c r="G352" s="122"/>
      <c r="H352" s="174"/>
      <c r="I352" s="174"/>
      <c r="J352" s="92"/>
      <c r="K352" s="93"/>
      <c r="L352" s="97"/>
    </row>
    <row r="353" spans="1:12" s="201" customFormat="1" ht="6" customHeight="1">
      <c r="A353" s="172"/>
      <c r="B353" s="208"/>
      <c r="C353" s="208"/>
      <c r="D353" s="163"/>
      <c r="E353" s="173"/>
      <c r="F353" s="165"/>
      <c r="G353" s="122"/>
      <c r="H353" s="174"/>
      <c r="I353" s="174"/>
      <c r="J353" s="92"/>
      <c r="K353" s="93"/>
      <c r="L353" s="97"/>
    </row>
    <row r="354" spans="1:12" s="201" customFormat="1">
      <c r="A354" s="172"/>
      <c r="B354" s="208"/>
      <c r="C354" s="208"/>
      <c r="D354" s="163"/>
      <c r="E354" s="173"/>
      <c r="F354" s="165"/>
      <c r="G354" s="122"/>
      <c r="H354" s="174"/>
      <c r="I354" s="174"/>
      <c r="J354" s="92"/>
      <c r="K354" s="93"/>
      <c r="L354" s="97"/>
    </row>
    <row r="355" spans="1:12" s="201" customFormat="1">
      <c r="A355" s="172"/>
      <c r="B355" s="208"/>
      <c r="C355" s="208"/>
      <c r="D355" s="163"/>
      <c r="E355" s="173"/>
      <c r="F355" s="165"/>
      <c r="G355" s="122"/>
      <c r="H355" s="174"/>
      <c r="I355" s="174"/>
      <c r="J355" s="92"/>
      <c r="K355" s="93"/>
      <c r="L355" s="97"/>
    </row>
    <row r="356" spans="1:12" s="201" customFormat="1" ht="16.5" customHeight="1">
      <c r="A356" s="172"/>
      <c r="B356" s="208"/>
      <c r="C356" s="208"/>
      <c r="D356" s="163"/>
      <c r="E356" s="173"/>
      <c r="F356" s="165"/>
      <c r="G356" s="122"/>
      <c r="H356" s="174"/>
      <c r="I356" s="174"/>
      <c r="J356" s="92"/>
      <c r="K356" s="93"/>
      <c r="L356" s="97"/>
    </row>
    <row r="357" spans="1:12" s="201" customFormat="1" ht="16.5" customHeight="1">
      <c r="A357" s="172"/>
      <c r="B357" s="208"/>
      <c r="C357" s="208"/>
      <c r="D357" s="163"/>
      <c r="E357" s="173"/>
      <c r="F357" s="165"/>
      <c r="G357" s="122"/>
      <c r="H357" s="174"/>
      <c r="I357" s="174"/>
      <c r="J357" s="92"/>
      <c r="K357" s="93"/>
      <c r="L357" s="97"/>
    </row>
    <row r="358" spans="1:12" s="201" customFormat="1" ht="6" customHeight="1">
      <c r="A358" s="172"/>
      <c r="B358" s="208"/>
      <c r="C358" s="208"/>
      <c r="D358" s="163"/>
      <c r="E358" s="173"/>
      <c r="F358" s="165"/>
      <c r="G358" s="122"/>
      <c r="H358" s="174"/>
      <c r="I358" s="174"/>
      <c r="J358" s="92"/>
      <c r="K358" s="93"/>
      <c r="L358" s="97"/>
    </row>
    <row r="359" spans="1:12" s="201" customFormat="1">
      <c r="A359" s="172"/>
      <c r="B359" s="208"/>
      <c r="C359" s="208"/>
      <c r="D359" s="163"/>
      <c r="E359" s="173"/>
      <c r="F359" s="165"/>
      <c r="G359" s="122"/>
      <c r="H359" s="174"/>
      <c r="I359" s="174"/>
      <c r="J359" s="92"/>
      <c r="K359" s="93"/>
      <c r="L359" s="97"/>
    </row>
    <row r="360" spans="1:12" s="201" customFormat="1">
      <c r="A360" s="172"/>
      <c r="B360" s="208"/>
      <c r="C360" s="208"/>
      <c r="D360" s="163"/>
      <c r="E360" s="173"/>
      <c r="F360" s="165"/>
      <c r="G360" s="122"/>
      <c r="H360" s="174"/>
      <c r="I360" s="174"/>
      <c r="J360" s="92"/>
      <c r="K360" s="93"/>
      <c r="L360" s="97"/>
    </row>
    <row r="361" spans="1:12" s="201" customFormat="1" ht="16.5" customHeight="1">
      <c r="A361" s="172"/>
      <c r="B361" s="208"/>
      <c r="C361" s="208"/>
      <c r="D361" s="163"/>
      <c r="E361" s="173"/>
      <c r="F361" s="165"/>
      <c r="G361" s="122"/>
      <c r="H361" s="174"/>
      <c r="I361" s="174"/>
      <c r="J361" s="92"/>
      <c r="K361" s="93"/>
      <c r="L361" s="97"/>
    </row>
    <row r="362" spans="1:12" s="201" customFormat="1" ht="16.5" customHeight="1">
      <c r="A362" s="172"/>
      <c r="B362" s="208"/>
      <c r="C362" s="208"/>
      <c r="D362" s="163"/>
      <c r="E362" s="173"/>
      <c r="F362" s="165"/>
      <c r="G362" s="122"/>
      <c r="H362" s="174"/>
      <c r="I362" s="174"/>
      <c r="J362" s="92"/>
      <c r="K362" s="93"/>
      <c r="L362" s="97"/>
    </row>
    <row r="363" spans="1:12" s="201" customFormat="1" ht="6" customHeight="1">
      <c r="A363" s="172"/>
      <c r="B363" s="208"/>
      <c r="C363" s="208"/>
      <c r="D363" s="163"/>
      <c r="E363" s="173"/>
      <c r="F363" s="165"/>
      <c r="G363" s="122"/>
      <c r="H363" s="174"/>
      <c r="I363" s="174"/>
      <c r="J363" s="92"/>
      <c r="K363" s="93"/>
      <c r="L363" s="97"/>
    </row>
    <row r="364" spans="1:12" s="201" customFormat="1">
      <c r="A364" s="172"/>
      <c r="B364" s="208"/>
      <c r="C364" s="208"/>
      <c r="D364" s="163"/>
      <c r="E364" s="173"/>
      <c r="F364" s="165"/>
      <c r="G364" s="122"/>
      <c r="H364" s="174"/>
      <c r="I364" s="174"/>
      <c r="J364" s="92"/>
      <c r="K364" s="93"/>
      <c r="L364" s="97"/>
    </row>
    <row r="365" spans="1:12" s="201" customFormat="1">
      <c r="A365" s="172"/>
      <c r="B365" s="208"/>
      <c r="C365" s="208"/>
      <c r="D365" s="163"/>
      <c r="E365" s="173"/>
      <c r="F365" s="165"/>
      <c r="G365" s="122"/>
      <c r="H365" s="174"/>
      <c r="I365" s="174"/>
      <c r="J365" s="92"/>
      <c r="K365" s="93"/>
      <c r="L365" s="97"/>
    </row>
    <row r="366" spans="1:12" s="201" customFormat="1" ht="16.5" customHeight="1">
      <c r="A366" s="172"/>
      <c r="B366" s="208"/>
      <c r="C366" s="208"/>
      <c r="D366" s="163"/>
      <c r="E366" s="173"/>
      <c r="F366" s="165"/>
      <c r="G366" s="122"/>
      <c r="H366" s="174"/>
      <c r="I366" s="174"/>
      <c r="J366" s="92"/>
      <c r="K366" s="93"/>
      <c r="L366" s="97"/>
    </row>
    <row r="367" spans="1:12" s="201" customFormat="1" ht="16.5" customHeight="1">
      <c r="A367" s="172"/>
      <c r="B367" s="208"/>
      <c r="C367" s="208"/>
      <c r="D367" s="163"/>
      <c r="E367" s="173"/>
      <c r="F367" s="165"/>
      <c r="G367" s="122"/>
      <c r="H367" s="174"/>
      <c r="I367" s="174"/>
      <c r="J367" s="92"/>
      <c r="K367" s="93"/>
      <c r="L367" s="97"/>
    </row>
    <row r="368" spans="1:12" ht="6" customHeight="1">
      <c r="A368" s="172"/>
      <c r="B368" s="208"/>
      <c r="C368" s="208"/>
      <c r="D368" s="163"/>
      <c r="H368" s="174"/>
      <c r="I368" s="174"/>
      <c r="J368" s="92"/>
      <c r="K368" s="93"/>
    </row>
    <row r="369" spans="1:12">
      <c r="A369" s="172"/>
      <c r="B369" s="208"/>
      <c r="C369" s="208"/>
      <c r="D369" s="163"/>
      <c r="H369" s="174"/>
      <c r="I369" s="174"/>
      <c r="J369" s="92"/>
      <c r="K369" s="93"/>
    </row>
    <row r="370" spans="1:12">
      <c r="A370" s="172"/>
      <c r="B370" s="208"/>
      <c r="C370" s="208"/>
      <c r="D370" s="163"/>
      <c r="H370" s="174"/>
      <c r="I370" s="174"/>
      <c r="J370" s="92"/>
      <c r="K370" s="93"/>
    </row>
    <row r="371" spans="1:12" ht="23.25" customHeight="1">
      <c r="A371" s="172"/>
      <c r="B371" s="208"/>
      <c r="C371" s="208"/>
      <c r="D371" s="163"/>
      <c r="H371" s="174"/>
      <c r="I371" s="174"/>
      <c r="J371" s="92"/>
      <c r="K371" s="93"/>
    </row>
    <row r="372" spans="1:12" ht="16.5" customHeight="1">
      <c r="A372" s="172"/>
      <c r="B372" s="208"/>
      <c r="C372" s="208"/>
      <c r="D372" s="163"/>
      <c r="H372" s="174"/>
      <c r="I372" s="174"/>
      <c r="J372" s="92"/>
      <c r="K372" s="93"/>
    </row>
    <row r="373" spans="1:12" ht="29.25" customHeight="1">
      <c r="A373" s="172"/>
      <c r="B373" s="208"/>
      <c r="C373" s="208"/>
      <c r="D373" s="163"/>
      <c r="H373" s="174"/>
      <c r="I373" s="174"/>
      <c r="J373" s="92"/>
      <c r="K373" s="93"/>
    </row>
    <row r="374" spans="1:12" ht="8.25" customHeight="1">
      <c r="A374" s="172"/>
      <c r="B374" s="208"/>
      <c r="C374" s="208"/>
      <c r="D374" s="163"/>
      <c r="H374" s="174"/>
      <c r="I374" s="174"/>
      <c r="J374" s="92"/>
      <c r="K374" s="93"/>
    </row>
    <row r="375" spans="1:12">
      <c r="A375" s="172"/>
      <c r="B375" s="208"/>
      <c r="C375" s="208"/>
      <c r="D375" s="163"/>
      <c r="H375" s="174"/>
      <c r="I375" s="174"/>
      <c r="J375" s="92"/>
      <c r="K375" s="93"/>
    </row>
    <row r="376" spans="1:12" s="210" customFormat="1" ht="27" customHeight="1">
      <c r="A376" s="172"/>
      <c r="B376" s="208"/>
      <c r="C376" s="208"/>
      <c r="D376" s="163"/>
      <c r="E376" s="173"/>
      <c r="F376" s="165"/>
      <c r="G376" s="122"/>
      <c r="H376" s="174"/>
      <c r="I376" s="174"/>
      <c r="J376" s="92"/>
      <c r="K376" s="93"/>
      <c r="L376" s="97"/>
    </row>
    <row r="377" spans="1:12" ht="15.75" customHeight="1">
      <c r="A377" s="172"/>
      <c r="B377" s="208"/>
      <c r="C377" s="208"/>
      <c r="D377" s="163"/>
      <c r="H377" s="174"/>
      <c r="I377" s="174"/>
      <c r="J377" s="92"/>
      <c r="K377" s="93"/>
    </row>
    <row r="378" spans="1:12" ht="15.75" customHeight="1">
      <c r="A378" s="172"/>
      <c r="B378" s="208"/>
      <c r="C378" s="208"/>
      <c r="D378" s="163"/>
      <c r="H378" s="174"/>
      <c r="I378" s="174"/>
      <c r="J378" s="92"/>
      <c r="K378" s="93"/>
    </row>
    <row r="379" spans="1:12">
      <c r="A379" s="172"/>
      <c r="B379" s="208"/>
      <c r="C379" s="208"/>
      <c r="D379" s="163"/>
      <c r="H379" s="174"/>
      <c r="I379" s="174"/>
      <c r="J379" s="92"/>
      <c r="K379" s="93"/>
    </row>
    <row r="380" spans="1:12">
      <c r="A380" s="172"/>
      <c r="B380" s="208"/>
      <c r="C380" s="208"/>
      <c r="D380" s="163"/>
      <c r="H380" s="174"/>
      <c r="I380" s="174"/>
      <c r="J380" s="92"/>
      <c r="K380" s="93"/>
    </row>
    <row r="381" spans="1:12">
      <c r="A381" s="172"/>
      <c r="B381" s="208"/>
      <c r="C381" s="208"/>
      <c r="D381" s="163"/>
      <c r="H381" s="174"/>
      <c r="I381" s="174"/>
      <c r="J381" s="92"/>
      <c r="K381" s="93"/>
    </row>
    <row r="382" spans="1:12">
      <c r="A382" s="172"/>
      <c r="B382" s="208"/>
      <c r="C382" s="208"/>
      <c r="D382" s="163"/>
      <c r="H382" s="174"/>
      <c r="I382" s="174"/>
      <c r="J382" s="92"/>
      <c r="K382" s="93"/>
    </row>
    <row r="383" spans="1:12">
      <c r="A383" s="172"/>
      <c r="B383" s="208"/>
      <c r="C383" s="208"/>
      <c r="D383" s="163"/>
      <c r="H383" s="174"/>
      <c r="I383" s="174"/>
      <c r="J383" s="92"/>
      <c r="K383" s="93"/>
    </row>
    <row r="384" spans="1:12">
      <c r="A384" s="172"/>
      <c r="B384" s="208"/>
      <c r="C384" s="208"/>
      <c r="D384" s="163"/>
      <c r="H384" s="174"/>
      <c r="I384" s="174"/>
      <c r="J384" s="92"/>
      <c r="K384" s="93"/>
    </row>
    <row r="385" spans="1:11">
      <c r="A385" s="172"/>
      <c r="B385" s="208"/>
      <c r="C385" s="208"/>
      <c r="D385" s="163"/>
      <c r="H385" s="174"/>
      <c r="I385" s="174"/>
      <c r="J385" s="92"/>
      <c r="K385" s="93"/>
    </row>
    <row r="386" spans="1:11">
      <c r="A386" s="172"/>
      <c r="B386" s="208"/>
      <c r="C386" s="208"/>
      <c r="D386" s="163"/>
      <c r="H386" s="174"/>
      <c r="I386" s="174"/>
      <c r="J386" s="92"/>
      <c r="K386" s="93"/>
    </row>
    <row r="387" spans="1:11">
      <c r="A387" s="172"/>
      <c r="B387" s="208"/>
      <c r="C387" s="208"/>
      <c r="D387" s="163"/>
      <c r="H387" s="174"/>
      <c r="I387" s="174"/>
      <c r="J387" s="92"/>
      <c r="K387" s="93"/>
    </row>
    <row r="388" spans="1:11">
      <c r="A388" s="172"/>
      <c r="B388" s="208"/>
      <c r="C388" s="208"/>
      <c r="D388" s="163"/>
      <c r="H388" s="174"/>
      <c r="I388" s="174"/>
      <c r="J388" s="92"/>
      <c r="K388" s="93"/>
    </row>
    <row r="389" spans="1:11">
      <c r="A389" s="172"/>
      <c r="B389" s="208"/>
      <c r="C389" s="208"/>
      <c r="D389" s="163"/>
      <c r="H389" s="174"/>
      <c r="I389" s="174"/>
      <c r="J389" s="92"/>
      <c r="K389" s="93"/>
    </row>
    <row r="390" spans="1:11">
      <c r="A390" s="172"/>
      <c r="B390" s="208"/>
      <c r="C390" s="208"/>
      <c r="D390" s="163"/>
      <c r="H390" s="174"/>
      <c r="I390" s="174"/>
      <c r="J390" s="92"/>
      <c r="K390" s="93"/>
    </row>
    <row r="391" spans="1:11">
      <c r="A391" s="172"/>
      <c r="B391" s="208"/>
      <c r="C391" s="208"/>
      <c r="D391" s="163"/>
      <c r="H391" s="174"/>
      <c r="I391" s="174"/>
      <c r="J391" s="92"/>
      <c r="K391" s="93"/>
    </row>
    <row r="392" spans="1:11">
      <c r="A392" s="172"/>
      <c r="B392" s="208"/>
      <c r="C392" s="208"/>
      <c r="D392" s="163"/>
      <c r="H392" s="174"/>
      <c r="I392" s="174"/>
      <c r="J392" s="92"/>
      <c r="K392" s="93"/>
    </row>
    <row r="393" spans="1:11">
      <c r="A393" s="172"/>
      <c r="B393" s="208"/>
      <c r="C393" s="208"/>
      <c r="D393" s="163"/>
      <c r="H393" s="174"/>
      <c r="I393" s="174"/>
      <c r="J393" s="92"/>
      <c r="K393" s="93"/>
    </row>
    <row r="394" spans="1:11">
      <c r="A394" s="172"/>
      <c r="B394" s="208"/>
      <c r="C394" s="208"/>
      <c r="D394" s="163"/>
      <c r="H394" s="174"/>
      <c r="I394" s="174"/>
      <c r="J394" s="92"/>
      <c r="K394" s="93"/>
    </row>
    <row r="395" spans="1:11">
      <c r="A395" s="172"/>
      <c r="B395" s="208"/>
      <c r="C395" s="208"/>
      <c r="D395" s="163"/>
      <c r="H395" s="174"/>
      <c r="I395" s="174"/>
      <c r="J395" s="92"/>
      <c r="K395" s="93"/>
    </row>
    <row r="396" spans="1:11">
      <c r="A396" s="172"/>
      <c r="B396" s="208"/>
      <c r="C396" s="208"/>
      <c r="D396" s="163"/>
      <c r="H396" s="174"/>
      <c r="I396" s="174"/>
      <c r="J396" s="92"/>
      <c r="K396" s="93"/>
    </row>
    <row r="397" spans="1:11">
      <c r="A397" s="172"/>
      <c r="B397" s="208"/>
      <c r="C397" s="208"/>
      <c r="D397" s="163"/>
      <c r="H397" s="174"/>
      <c r="I397" s="174"/>
      <c r="J397" s="92"/>
      <c r="K397" s="93"/>
    </row>
    <row r="398" spans="1:11">
      <c r="A398" s="172"/>
      <c r="B398" s="208"/>
      <c r="C398" s="208"/>
      <c r="D398" s="163"/>
      <c r="H398" s="174"/>
      <c r="I398" s="174"/>
      <c r="J398" s="92"/>
      <c r="K398" s="93"/>
    </row>
    <row r="399" spans="1:11">
      <c r="A399" s="172"/>
      <c r="B399" s="208"/>
      <c r="C399" s="208"/>
      <c r="D399" s="163"/>
      <c r="H399" s="174"/>
      <c r="I399" s="174"/>
      <c r="J399" s="92"/>
      <c r="K399" s="93"/>
    </row>
    <row r="400" spans="1:11">
      <c r="A400" s="172"/>
      <c r="B400" s="208"/>
      <c r="C400" s="208"/>
      <c r="D400" s="163"/>
      <c r="H400" s="174"/>
      <c r="I400" s="174"/>
      <c r="J400" s="92"/>
      <c r="K400" s="93"/>
    </row>
    <row r="401" spans="1:11">
      <c r="A401" s="172"/>
      <c r="B401" s="208"/>
      <c r="C401" s="208"/>
      <c r="D401" s="163"/>
      <c r="H401" s="174"/>
      <c r="I401" s="174"/>
      <c r="J401" s="92"/>
      <c r="K401" s="93"/>
    </row>
    <row r="402" spans="1:11">
      <c r="A402" s="172"/>
      <c r="B402" s="208"/>
      <c r="C402" s="208"/>
      <c r="D402" s="163"/>
      <c r="H402" s="174"/>
      <c r="I402" s="174"/>
      <c r="J402" s="92"/>
      <c r="K402" s="93"/>
    </row>
    <row r="403" spans="1:11">
      <c r="A403" s="172"/>
      <c r="B403" s="208"/>
      <c r="C403" s="208"/>
      <c r="D403" s="163"/>
      <c r="H403" s="174"/>
      <c r="I403" s="174"/>
      <c r="J403" s="92"/>
      <c r="K403" s="93"/>
    </row>
    <row r="404" spans="1:11">
      <c r="A404" s="172"/>
      <c r="B404" s="208"/>
      <c r="C404" s="208"/>
      <c r="D404" s="163"/>
      <c r="H404" s="174"/>
      <c r="I404" s="174"/>
      <c r="J404" s="92"/>
      <c r="K404" s="93"/>
    </row>
    <row r="405" spans="1:11">
      <c r="A405" s="172"/>
      <c r="B405" s="208"/>
      <c r="C405" s="208"/>
      <c r="D405" s="163"/>
      <c r="H405" s="174"/>
      <c r="I405" s="174"/>
      <c r="J405" s="92"/>
      <c r="K405" s="93"/>
    </row>
    <row r="406" spans="1:11">
      <c r="A406" s="172"/>
      <c r="B406" s="208"/>
      <c r="C406" s="208"/>
      <c r="D406" s="163"/>
      <c r="H406" s="174"/>
      <c r="I406" s="174"/>
      <c r="J406" s="92"/>
      <c r="K406" s="93"/>
    </row>
    <row r="407" spans="1:11">
      <c r="A407" s="172"/>
      <c r="B407" s="208"/>
      <c r="C407" s="208"/>
      <c r="D407" s="163"/>
      <c r="H407" s="174"/>
      <c r="I407" s="174"/>
      <c r="J407" s="92"/>
      <c r="K407" s="93"/>
    </row>
    <row r="408" spans="1:11">
      <c r="A408" s="172"/>
      <c r="B408" s="208"/>
      <c r="C408" s="208"/>
      <c r="D408" s="163"/>
      <c r="H408" s="174"/>
      <c r="I408" s="174"/>
      <c r="J408" s="92"/>
      <c r="K408" s="93"/>
    </row>
    <row r="409" spans="1:11">
      <c r="A409" s="172"/>
      <c r="B409" s="208"/>
      <c r="C409" s="208"/>
      <c r="D409" s="163"/>
      <c r="H409" s="174"/>
      <c r="I409" s="174"/>
      <c r="J409" s="92"/>
      <c r="K409" s="93"/>
    </row>
    <row r="410" spans="1:11">
      <c r="A410" s="172"/>
      <c r="B410" s="208"/>
      <c r="C410" s="208"/>
      <c r="D410" s="163"/>
      <c r="H410" s="174"/>
      <c r="I410" s="174"/>
      <c r="J410" s="92"/>
      <c r="K410" s="93"/>
    </row>
    <row r="411" spans="1:11">
      <c r="A411" s="172"/>
      <c r="B411" s="208"/>
      <c r="C411" s="208"/>
      <c r="D411" s="163"/>
      <c r="H411" s="174"/>
      <c r="I411" s="174"/>
      <c r="J411" s="92"/>
      <c r="K411" s="93"/>
    </row>
    <row r="412" spans="1:11">
      <c r="A412" s="172"/>
      <c r="B412" s="208"/>
      <c r="C412" s="208"/>
      <c r="D412" s="163"/>
      <c r="H412" s="174"/>
      <c r="I412" s="174"/>
      <c r="J412" s="92"/>
      <c r="K412" s="93"/>
    </row>
    <row r="413" spans="1:11">
      <c r="A413" s="172"/>
      <c r="B413" s="208"/>
      <c r="C413" s="208"/>
      <c r="D413" s="163"/>
      <c r="H413" s="174"/>
      <c r="I413" s="174"/>
      <c r="J413" s="92"/>
      <c r="K413" s="93"/>
    </row>
    <row r="414" spans="1:11">
      <c r="A414" s="172"/>
      <c r="B414" s="208"/>
      <c r="C414" s="208"/>
      <c r="D414" s="163"/>
      <c r="H414" s="174"/>
      <c r="I414" s="174"/>
      <c r="J414" s="92"/>
      <c r="K414" s="93"/>
    </row>
    <row r="415" spans="1:11">
      <c r="A415" s="172"/>
      <c r="B415" s="208"/>
      <c r="C415" s="208"/>
      <c r="D415" s="163"/>
      <c r="H415" s="174"/>
      <c r="I415" s="174"/>
      <c r="J415" s="92"/>
      <c r="K415" s="93"/>
    </row>
    <row r="416" spans="1:11">
      <c r="A416" s="172"/>
      <c r="B416" s="208"/>
      <c r="C416" s="208"/>
      <c r="D416" s="163"/>
      <c r="H416" s="174"/>
      <c r="I416" s="174"/>
      <c r="J416" s="92"/>
      <c r="K416" s="93"/>
    </row>
    <row r="417" spans="1:11">
      <c r="A417" s="172"/>
      <c r="B417" s="208"/>
      <c r="C417" s="208"/>
      <c r="D417" s="163"/>
      <c r="H417" s="174"/>
      <c r="I417" s="174"/>
      <c r="J417" s="92"/>
      <c r="K417" s="93"/>
    </row>
    <row r="418" spans="1:11">
      <c r="A418" s="172"/>
      <c r="B418" s="208"/>
      <c r="C418" s="208"/>
      <c r="D418" s="163"/>
      <c r="H418" s="174"/>
      <c r="I418" s="174"/>
      <c r="J418" s="92"/>
      <c r="K418" s="93"/>
    </row>
    <row r="419" spans="1:11">
      <c r="A419" s="172"/>
      <c r="B419" s="208"/>
      <c r="C419" s="208"/>
      <c r="D419" s="163"/>
      <c r="H419" s="174"/>
      <c r="I419" s="174"/>
      <c r="J419" s="92"/>
      <c r="K419" s="93"/>
    </row>
    <row r="420" spans="1:11">
      <c r="A420" s="172"/>
      <c r="B420" s="208"/>
      <c r="C420" s="208"/>
      <c r="D420" s="163"/>
      <c r="H420" s="174"/>
      <c r="I420" s="174"/>
      <c r="J420" s="92"/>
      <c r="K420" s="93"/>
    </row>
    <row r="421" spans="1:11">
      <c r="A421" s="172"/>
      <c r="B421" s="208"/>
      <c r="C421" s="208"/>
      <c r="D421" s="163"/>
      <c r="H421" s="174"/>
      <c r="I421" s="174"/>
      <c r="J421" s="92"/>
      <c r="K421" s="93"/>
    </row>
    <row r="422" spans="1:11">
      <c r="A422" s="172"/>
      <c r="B422" s="208"/>
      <c r="C422" s="208"/>
      <c r="D422" s="163"/>
      <c r="H422" s="174"/>
      <c r="I422" s="174"/>
      <c r="J422" s="92"/>
      <c r="K422" s="93"/>
    </row>
    <row r="423" spans="1:11">
      <c r="A423" s="172"/>
      <c r="B423" s="208"/>
      <c r="C423" s="208"/>
      <c r="D423" s="163"/>
      <c r="H423" s="174"/>
      <c r="I423" s="174"/>
      <c r="J423" s="92"/>
      <c r="K423" s="93"/>
    </row>
    <row r="424" spans="1:11">
      <c r="A424" s="172"/>
      <c r="B424" s="208"/>
      <c r="C424" s="208"/>
      <c r="D424" s="163"/>
      <c r="H424" s="174"/>
      <c r="I424" s="174"/>
      <c r="J424" s="92"/>
      <c r="K424" s="93"/>
    </row>
    <row r="425" spans="1:11">
      <c r="A425" s="172"/>
      <c r="B425" s="208"/>
      <c r="C425" s="208"/>
      <c r="D425" s="163"/>
      <c r="H425" s="174"/>
      <c r="I425" s="174"/>
      <c r="J425" s="92"/>
      <c r="K425" s="93"/>
    </row>
    <row r="426" spans="1:11">
      <c r="A426" s="172"/>
      <c r="B426" s="208"/>
      <c r="C426" s="208"/>
      <c r="D426" s="163"/>
      <c r="H426" s="174"/>
      <c r="I426" s="174"/>
      <c r="J426" s="92"/>
      <c r="K426" s="93"/>
    </row>
    <row r="427" spans="1:11">
      <c r="A427" s="172"/>
      <c r="B427" s="208"/>
      <c r="C427" s="208"/>
      <c r="D427" s="163"/>
      <c r="H427" s="174"/>
      <c r="I427" s="174"/>
      <c r="J427" s="92"/>
      <c r="K427" s="93"/>
    </row>
    <row r="428" spans="1:11">
      <c r="A428" s="172"/>
      <c r="B428" s="208"/>
      <c r="C428" s="208"/>
      <c r="D428" s="163"/>
      <c r="H428" s="174"/>
      <c r="I428" s="174"/>
      <c r="J428" s="92"/>
      <c r="K428" s="93"/>
    </row>
    <row r="429" spans="1:11">
      <c r="A429" s="172"/>
      <c r="B429" s="208"/>
      <c r="C429" s="208"/>
      <c r="D429" s="163"/>
      <c r="H429" s="174"/>
      <c r="I429" s="174"/>
      <c r="J429" s="92"/>
      <c r="K429" s="93"/>
    </row>
    <row r="430" spans="1:11">
      <c r="A430" s="172"/>
      <c r="B430" s="208"/>
      <c r="C430" s="208"/>
      <c r="D430" s="163"/>
      <c r="H430" s="174"/>
      <c r="I430" s="174"/>
      <c r="J430" s="92"/>
      <c r="K430" s="93"/>
    </row>
    <row r="431" spans="1:11">
      <c r="A431" s="172"/>
      <c r="B431" s="208"/>
      <c r="C431" s="208"/>
      <c r="D431" s="163"/>
      <c r="H431" s="174"/>
      <c r="I431" s="174"/>
      <c r="J431" s="92"/>
      <c r="K431" s="93"/>
    </row>
    <row r="432" spans="1:11">
      <c r="A432" s="172"/>
      <c r="B432" s="208"/>
      <c r="C432" s="208"/>
      <c r="D432" s="163"/>
      <c r="H432" s="174"/>
      <c r="I432" s="174"/>
      <c r="J432" s="92"/>
      <c r="K432" s="93"/>
    </row>
    <row r="433" spans="1:11">
      <c r="A433" s="172"/>
      <c r="B433" s="208"/>
      <c r="C433" s="208"/>
      <c r="D433" s="163"/>
      <c r="H433" s="174"/>
      <c r="I433" s="174"/>
      <c r="J433" s="92"/>
      <c r="K433" s="93"/>
    </row>
    <row r="434" spans="1:11">
      <c r="A434" s="172"/>
      <c r="B434" s="208"/>
      <c r="C434" s="208"/>
      <c r="D434" s="163"/>
      <c r="H434" s="174"/>
      <c r="I434" s="174"/>
      <c r="J434" s="92"/>
      <c r="K434" s="93"/>
    </row>
    <row r="435" spans="1:11">
      <c r="A435" s="172"/>
      <c r="B435" s="208"/>
      <c r="C435" s="208"/>
      <c r="D435" s="163"/>
      <c r="H435" s="174"/>
      <c r="I435" s="174"/>
      <c r="J435" s="92"/>
      <c r="K435" s="93"/>
    </row>
    <row r="436" spans="1:11">
      <c r="A436" s="172"/>
      <c r="B436" s="208"/>
      <c r="C436" s="208"/>
      <c r="D436" s="163"/>
      <c r="H436" s="174"/>
      <c r="I436" s="174"/>
      <c r="J436" s="92"/>
      <c r="K436" s="93"/>
    </row>
    <row r="437" spans="1:11">
      <c r="A437" s="172"/>
      <c r="B437" s="208"/>
      <c r="C437" s="208"/>
      <c r="D437" s="163"/>
      <c r="H437" s="174"/>
      <c r="I437" s="174"/>
      <c r="J437" s="92"/>
      <c r="K437" s="93"/>
    </row>
    <row r="438" spans="1:11">
      <c r="A438" s="172"/>
      <c r="B438" s="208"/>
      <c r="C438" s="208"/>
      <c r="D438" s="163"/>
      <c r="H438" s="174"/>
      <c r="I438" s="174"/>
      <c r="J438" s="92"/>
      <c r="K438" s="93"/>
    </row>
    <row r="439" spans="1:11">
      <c r="A439" s="172"/>
      <c r="B439" s="208"/>
      <c r="C439" s="208"/>
      <c r="D439" s="163"/>
      <c r="H439" s="174"/>
      <c r="I439" s="174"/>
      <c r="J439" s="92"/>
      <c r="K439" s="93"/>
    </row>
    <row r="440" spans="1:11">
      <c r="A440" s="172"/>
      <c r="B440" s="208"/>
      <c r="C440" s="208"/>
      <c r="D440" s="163"/>
      <c r="H440" s="174"/>
      <c r="I440" s="174"/>
      <c r="J440" s="92"/>
      <c r="K440" s="93"/>
    </row>
    <row r="441" spans="1:11">
      <c r="A441" s="172"/>
      <c r="B441" s="208"/>
      <c r="C441" s="208"/>
      <c r="D441" s="163"/>
      <c r="H441" s="174"/>
      <c r="I441" s="174"/>
      <c r="J441" s="92"/>
      <c r="K441" s="93"/>
    </row>
    <row r="442" spans="1:11">
      <c r="A442" s="172"/>
      <c r="B442" s="208"/>
      <c r="C442" s="208"/>
      <c r="D442" s="163"/>
      <c r="H442" s="174"/>
      <c r="I442" s="174"/>
      <c r="J442" s="92"/>
      <c r="K442" s="93"/>
    </row>
    <row r="443" spans="1:11">
      <c r="A443" s="172"/>
      <c r="B443" s="208"/>
      <c r="C443" s="208"/>
      <c r="D443" s="163"/>
      <c r="H443" s="174"/>
      <c r="I443" s="174"/>
      <c r="J443" s="92"/>
      <c r="K443" s="93"/>
    </row>
    <row r="444" spans="1:11">
      <c r="A444" s="172"/>
      <c r="B444" s="208"/>
      <c r="C444" s="208"/>
      <c r="D444" s="163"/>
      <c r="H444" s="174"/>
      <c r="I444" s="174"/>
      <c r="J444" s="92"/>
      <c r="K444" s="93"/>
    </row>
    <row r="445" spans="1:11">
      <c r="A445" s="172"/>
      <c r="B445" s="208"/>
      <c r="C445" s="208"/>
      <c r="D445" s="163"/>
      <c r="H445" s="174"/>
      <c r="I445" s="174"/>
      <c r="J445" s="92"/>
      <c r="K445" s="93"/>
    </row>
    <row r="446" spans="1:11">
      <c r="A446" s="172"/>
      <c r="B446" s="208"/>
      <c r="C446" s="208"/>
      <c r="D446" s="163"/>
      <c r="H446" s="174"/>
      <c r="I446" s="174"/>
      <c r="J446" s="92"/>
      <c r="K446" s="93"/>
    </row>
    <row r="447" spans="1:11">
      <c r="A447" s="172"/>
      <c r="B447" s="208"/>
      <c r="C447" s="208"/>
      <c r="D447" s="163"/>
      <c r="H447" s="174"/>
      <c r="I447" s="174"/>
      <c r="J447" s="92"/>
      <c r="K447" s="93"/>
    </row>
    <row r="448" spans="1:11">
      <c r="A448" s="172"/>
      <c r="B448" s="208"/>
      <c r="C448" s="208"/>
      <c r="D448" s="163"/>
      <c r="H448" s="174"/>
      <c r="I448" s="174"/>
      <c r="J448" s="92"/>
      <c r="K448" s="93"/>
    </row>
    <row r="449" spans="1:11">
      <c r="A449" s="172"/>
      <c r="B449" s="208"/>
      <c r="C449" s="208"/>
      <c r="D449" s="163"/>
      <c r="H449" s="174"/>
      <c r="I449" s="174"/>
      <c r="J449" s="92"/>
      <c r="K449" s="93"/>
    </row>
    <row r="450" spans="1:11">
      <c r="A450" s="172"/>
      <c r="B450" s="208"/>
      <c r="C450" s="208"/>
      <c r="D450" s="163"/>
      <c r="H450" s="174"/>
      <c r="I450" s="174"/>
      <c r="J450" s="92"/>
      <c r="K450" s="93"/>
    </row>
    <row r="451" spans="1:11">
      <c r="A451" s="172"/>
      <c r="B451" s="208"/>
      <c r="C451" s="208"/>
      <c r="D451" s="163"/>
      <c r="H451" s="174"/>
      <c r="I451" s="174"/>
      <c r="J451" s="92"/>
      <c r="K451" s="93"/>
    </row>
    <row r="452" spans="1:11">
      <c r="A452" s="172"/>
      <c r="B452" s="208"/>
      <c r="C452" s="208"/>
      <c r="D452" s="163"/>
      <c r="H452" s="174"/>
      <c r="I452" s="174"/>
      <c r="J452" s="92"/>
      <c r="K452" s="93"/>
    </row>
    <row r="453" spans="1:11">
      <c r="A453" s="172"/>
      <c r="B453" s="208"/>
      <c r="C453" s="208"/>
      <c r="D453" s="163"/>
      <c r="H453" s="174"/>
      <c r="I453" s="174"/>
      <c r="J453" s="92"/>
      <c r="K453" s="93"/>
    </row>
    <row r="454" spans="1:11">
      <c r="A454" s="172"/>
      <c r="B454" s="208"/>
      <c r="C454" s="208"/>
      <c r="D454" s="163"/>
      <c r="H454" s="174"/>
      <c r="I454" s="174"/>
      <c r="J454" s="92"/>
      <c r="K454" s="93"/>
    </row>
    <row r="455" spans="1:11">
      <c r="A455" s="172"/>
      <c r="B455" s="208"/>
      <c r="C455" s="208"/>
      <c r="D455" s="163"/>
      <c r="H455" s="174"/>
      <c r="I455" s="174"/>
      <c r="J455" s="92"/>
      <c r="K455" s="93"/>
    </row>
    <row r="456" spans="1:11">
      <c r="A456" s="172"/>
      <c r="B456" s="208"/>
      <c r="C456" s="208"/>
      <c r="D456" s="163"/>
      <c r="H456" s="174"/>
      <c r="I456" s="174"/>
      <c r="J456" s="92"/>
      <c r="K456" s="93"/>
    </row>
    <row r="457" spans="1:11">
      <c r="A457" s="172"/>
      <c r="B457" s="208"/>
      <c r="C457" s="208"/>
      <c r="D457" s="163"/>
      <c r="H457" s="174"/>
      <c r="I457" s="174"/>
      <c r="J457" s="92"/>
      <c r="K457" s="93"/>
    </row>
    <row r="458" spans="1:11">
      <c r="A458" s="172"/>
      <c r="B458" s="208"/>
      <c r="C458" s="208"/>
      <c r="D458" s="163"/>
      <c r="H458" s="174"/>
      <c r="I458" s="174"/>
      <c r="J458" s="92"/>
      <c r="K458" s="93"/>
    </row>
    <row r="459" spans="1:11">
      <c r="A459" s="172"/>
      <c r="B459" s="208"/>
      <c r="C459" s="208"/>
      <c r="D459" s="163"/>
      <c r="H459" s="174"/>
      <c r="I459" s="174"/>
      <c r="J459" s="92"/>
      <c r="K459" s="93"/>
    </row>
    <row r="460" spans="1:11">
      <c r="A460" s="172"/>
      <c r="B460" s="208"/>
      <c r="C460" s="208"/>
      <c r="D460" s="163"/>
      <c r="H460" s="174"/>
      <c r="I460" s="174"/>
      <c r="J460" s="92"/>
      <c r="K460" s="93"/>
    </row>
    <row r="461" spans="1:11">
      <c r="A461" s="172"/>
      <c r="B461" s="208"/>
      <c r="C461" s="208"/>
      <c r="D461" s="163"/>
      <c r="H461" s="174"/>
      <c r="I461" s="174"/>
      <c r="J461" s="92"/>
      <c r="K461" s="93"/>
    </row>
    <row r="462" spans="1:11">
      <c r="A462" s="172"/>
      <c r="B462" s="208"/>
      <c r="C462" s="208"/>
      <c r="D462" s="163"/>
      <c r="H462" s="174"/>
      <c r="I462" s="174"/>
      <c r="J462" s="92"/>
      <c r="K462" s="93"/>
    </row>
    <row r="463" spans="1:11">
      <c r="A463" s="172"/>
      <c r="B463" s="208"/>
      <c r="C463" s="208"/>
      <c r="D463" s="163"/>
      <c r="H463" s="174"/>
      <c r="I463" s="174"/>
      <c r="J463" s="92"/>
      <c r="K463" s="93"/>
    </row>
    <row r="464" spans="1:11">
      <c r="A464" s="172"/>
      <c r="B464" s="208"/>
      <c r="C464" s="208"/>
      <c r="D464" s="163"/>
      <c r="H464" s="174"/>
      <c r="I464" s="174"/>
      <c r="J464" s="92"/>
      <c r="K464" s="93"/>
    </row>
    <row r="465" spans="1:11">
      <c r="A465" s="172"/>
      <c r="B465" s="208"/>
      <c r="C465" s="208"/>
      <c r="D465" s="163"/>
      <c r="H465" s="174"/>
      <c r="I465" s="174"/>
      <c r="J465" s="92"/>
      <c r="K465" s="93"/>
    </row>
    <row r="466" spans="1:11">
      <c r="A466" s="172"/>
      <c r="B466" s="208"/>
      <c r="C466" s="208"/>
      <c r="D466" s="163"/>
      <c r="H466" s="174"/>
      <c r="I466" s="174"/>
      <c r="J466" s="92"/>
      <c r="K466" s="93"/>
    </row>
    <row r="467" spans="1:11">
      <c r="A467" s="172"/>
      <c r="B467" s="208"/>
      <c r="C467" s="208"/>
      <c r="D467" s="163"/>
      <c r="H467" s="174"/>
      <c r="I467" s="174"/>
      <c r="J467" s="92"/>
      <c r="K467" s="93"/>
    </row>
    <row r="468" spans="1:11">
      <c r="A468" s="172"/>
      <c r="B468" s="208"/>
      <c r="C468" s="208"/>
      <c r="D468" s="163"/>
      <c r="H468" s="174"/>
      <c r="I468" s="174"/>
      <c r="J468" s="92"/>
      <c r="K468" s="93"/>
    </row>
    <row r="469" spans="1:11">
      <c r="A469" s="172"/>
      <c r="B469" s="208"/>
      <c r="C469" s="208"/>
      <c r="D469" s="163"/>
      <c r="H469" s="174"/>
      <c r="I469" s="174"/>
      <c r="J469" s="92"/>
      <c r="K469" s="93"/>
    </row>
    <row r="470" spans="1:11">
      <c r="A470" s="172"/>
      <c r="B470" s="208"/>
      <c r="C470" s="208"/>
      <c r="D470" s="163"/>
      <c r="H470" s="174"/>
      <c r="I470" s="174"/>
      <c r="J470" s="92"/>
      <c r="K470" s="93"/>
    </row>
    <row r="471" spans="1:11">
      <c r="A471" s="172"/>
      <c r="B471" s="208"/>
      <c r="C471" s="208"/>
      <c r="D471" s="163"/>
      <c r="H471" s="174"/>
      <c r="I471" s="174"/>
      <c r="J471" s="92"/>
      <c r="K471" s="93"/>
    </row>
    <row r="472" spans="1:11">
      <c r="A472" s="172"/>
      <c r="B472" s="208"/>
      <c r="C472" s="208"/>
      <c r="D472" s="163"/>
      <c r="H472" s="174"/>
      <c r="I472" s="174"/>
      <c r="J472" s="92"/>
      <c r="K472" s="93"/>
    </row>
    <row r="473" spans="1:11">
      <c r="A473" s="172"/>
      <c r="B473" s="208"/>
      <c r="C473" s="208"/>
      <c r="D473" s="163"/>
      <c r="H473" s="174"/>
      <c r="I473" s="174"/>
      <c r="J473" s="92"/>
      <c r="K473" s="93"/>
    </row>
    <row r="474" spans="1:11">
      <c r="A474" s="172"/>
      <c r="B474" s="208"/>
      <c r="C474" s="208"/>
      <c r="D474" s="163"/>
      <c r="H474" s="174"/>
      <c r="I474" s="174"/>
      <c r="J474" s="92"/>
      <c r="K474" s="93"/>
    </row>
    <row r="475" spans="1:11">
      <c r="A475" s="172"/>
      <c r="B475" s="208"/>
      <c r="C475" s="208"/>
      <c r="D475" s="163"/>
      <c r="H475" s="174"/>
      <c r="I475" s="174"/>
      <c r="J475" s="92"/>
      <c r="K475" s="93"/>
    </row>
    <row r="476" spans="1:11">
      <c r="A476" s="172"/>
      <c r="B476" s="208"/>
      <c r="C476" s="208"/>
      <c r="D476" s="163"/>
      <c r="H476" s="174"/>
      <c r="I476" s="174"/>
      <c r="J476" s="92"/>
      <c r="K476" s="93"/>
    </row>
    <row r="477" spans="1:11">
      <c r="A477" s="172"/>
      <c r="B477" s="208"/>
      <c r="C477" s="208"/>
      <c r="D477" s="163"/>
      <c r="H477" s="174"/>
      <c r="I477" s="174"/>
      <c r="J477" s="92"/>
      <c r="K477" s="93"/>
    </row>
    <row r="478" spans="1:11">
      <c r="A478" s="172"/>
      <c r="B478" s="208"/>
      <c r="C478" s="208"/>
      <c r="D478" s="163"/>
    </row>
    <row r="479" spans="1:11">
      <c r="A479" s="172"/>
    </row>
  </sheetData>
  <sheetProtection password="D74F" sheet="1" objects="1" scenarios="1"/>
  <mergeCells count="6">
    <mergeCell ref="A347:L347"/>
    <mergeCell ref="A1:L1"/>
    <mergeCell ref="C2:J2"/>
    <mergeCell ref="J345:L345"/>
    <mergeCell ref="E343:F343"/>
    <mergeCell ref="A3:L3"/>
  </mergeCells>
  <phoneticPr fontId="0" type="noConversion"/>
  <printOptions horizontalCentered="1"/>
  <pageMargins left="0.31496062992125984" right="0.23622047244094491" top="0.78740157480314965" bottom="0.59055118110236227" header="0.35433070866141736" footer="0"/>
  <pageSetup paperSize="9" scale="93" fitToHeight="0" orientation="portrait" r:id="rId1"/>
  <headerFooter alignWithMargins="0">
    <oddHeader>&amp;L989&amp;CKIVITELI TERV
Székesfehérvár, Arany János utca és a kapcsolódó terek burkolatfelújítása&amp;RKözlekedésfejlesztés Kft.</oddHeader>
    <oddFooter>&amp;R&amp;P - oldal</oddFooter>
  </headerFooter>
  <rowBreaks count="14" manualBreakCount="14">
    <brk id="44" max="11" man="1"/>
    <brk id="99" max="11" man="1"/>
    <brk id="149" max="11" man="1"/>
    <brk id="201" max="11" man="1"/>
    <brk id="251" max="11" man="1"/>
    <brk id="504" max="65535" man="1"/>
    <brk id="526" max="65535" man="1"/>
    <brk id="556" max="65535" man="1"/>
    <brk id="566" max="65535" man="1"/>
    <brk id="613" max="65535" man="1"/>
    <brk id="663" max="65535" man="1"/>
    <brk id="705" max="65535" man="1"/>
    <brk id="756" max="65535" man="1"/>
    <brk id="806" max="65535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="85" zoomScaleNormal="75" workbookViewId="0">
      <selection sqref="A1:H1"/>
    </sheetView>
  </sheetViews>
  <sheetFormatPr defaultRowHeight="12.75"/>
  <cols>
    <col min="1" max="1" width="9.85546875" style="2" customWidth="1"/>
    <col min="2" max="2" width="50.85546875" style="2" customWidth="1"/>
    <col min="3" max="3" width="11.42578125" style="79" customWidth="1"/>
    <col min="4" max="4" width="6.85546875" style="2" customWidth="1"/>
    <col min="5" max="5" width="11.7109375" style="14" customWidth="1"/>
    <col min="6" max="6" width="3.28515625" style="14" customWidth="1"/>
    <col min="7" max="7" width="4.140625" style="14" bestFit="1" customWidth="1"/>
    <col min="8" max="8" width="15.42578125" style="14" customWidth="1"/>
    <col min="9" max="16" width="9.140625" style="14"/>
    <col min="17" max="16384" width="9.140625" style="1"/>
  </cols>
  <sheetData>
    <row r="1" spans="1:16" ht="24.75" customHeight="1">
      <c r="A1" s="305" t="s">
        <v>47</v>
      </c>
      <c r="B1" s="305"/>
      <c r="C1" s="305"/>
      <c r="D1" s="305"/>
      <c r="E1" s="305"/>
      <c r="F1" s="305"/>
      <c r="G1" s="305"/>
      <c r="H1" s="305"/>
      <c r="L1" s="30"/>
    </row>
    <row r="2" spans="1:16" ht="55.5" customHeight="1" thickBot="1">
      <c r="A2" s="12" t="s">
        <v>1</v>
      </c>
      <c r="B2" s="309">
        <f>'Méret Arany J'!A3:H3</f>
        <v>0</v>
      </c>
      <c r="C2" s="309"/>
      <c r="D2" s="309"/>
      <c r="E2" s="309"/>
      <c r="F2" s="309"/>
      <c r="G2" s="309"/>
      <c r="H2" s="309"/>
      <c r="L2" s="31"/>
    </row>
    <row r="3" spans="1:16" ht="65.25" customHeight="1" thickBot="1">
      <c r="A3" s="32" t="s">
        <v>25</v>
      </c>
      <c r="B3" s="32" t="s">
        <v>132</v>
      </c>
      <c r="C3" s="74" t="s">
        <v>48</v>
      </c>
      <c r="D3" s="33" t="s">
        <v>26</v>
      </c>
      <c r="E3" s="306" t="s">
        <v>49</v>
      </c>
      <c r="F3" s="307"/>
      <c r="G3" s="308"/>
      <c r="H3" s="34" t="s">
        <v>50</v>
      </c>
      <c r="L3" s="31"/>
    </row>
    <row r="4" spans="1:16" s="211" customFormat="1" ht="21.95" customHeight="1">
      <c r="A4" s="214">
        <f>'Méret Arany J'!A8</f>
        <v>1</v>
      </c>
      <c r="B4" s="215" t="str">
        <f>'Méret Arany J'!B18</f>
        <v>nagykockakő burkolat fektetése bontott kőből</v>
      </c>
      <c r="C4" s="220">
        <f>'Méret Arany J'!G18</f>
        <v>1268</v>
      </c>
      <c r="D4" s="75" t="str">
        <f>'Méret Arany J'!H18</f>
        <v>m2</v>
      </c>
      <c r="E4" s="222"/>
      <c r="F4" s="35" t="s">
        <v>52</v>
      </c>
      <c r="G4" s="48" t="str">
        <f>D4</f>
        <v>m2</v>
      </c>
      <c r="H4" s="36">
        <f t="shared" ref="H4:H11" si="0">E4*C4</f>
        <v>0</v>
      </c>
      <c r="L4" s="216"/>
    </row>
    <row r="5" spans="1:16" s="211" customFormat="1" ht="21.95" customHeight="1">
      <c r="A5" s="217">
        <f>'Méret Arany J'!A9</f>
        <v>2</v>
      </c>
      <c r="B5" s="218" t="str">
        <f>'Méret Arany J'!B20</f>
        <v>kiskockakő burkolat fektetés bontott kőből</v>
      </c>
      <c r="C5" s="221">
        <f>'Méret Arany J'!G20</f>
        <v>142</v>
      </c>
      <c r="D5" s="76" t="str">
        <f>'Méret Arany J'!H20</f>
        <v>m2</v>
      </c>
      <c r="E5" s="223"/>
      <c r="F5" s="41" t="s">
        <v>52</v>
      </c>
      <c r="G5" s="49" t="str">
        <f t="shared" ref="G5:G15" si="1">D5</f>
        <v>m2</v>
      </c>
      <c r="H5" s="42">
        <f t="shared" si="0"/>
        <v>0</v>
      </c>
      <c r="L5" s="216"/>
    </row>
    <row r="6" spans="1:16" s="211" customFormat="1" ht="21.95" customHeight="1">
      <c r="A6" s="217">
        <f>'Méret Arany J'!A10</f>
        <v>3</v>
      </c>
      <c r="B6" s="218" t="str">
        <f>'Méret Arany J'!B21</f>
        <v>mészkő lap burkolat fektetése</v>
      </c>
      <c r="C6" s="221">
        <f>'Méret Arany J'!G21</f>
        <v>101</v>
      </c>
      <c r="D6" s="76" t="str">
        <f>'Méret Arany J'!H21</f>
        <v>m2</v>
      </c>
      <c r="E6" s="223"/>
      <c r="F6" s="41" t="s">
        <v>52</v>
      </c>
      <c r="G6" s="49" t="str">
        <f t="shared" si="1"/>
        <v>m2</v>
      </c>
      <c r="H6" s="42">
        <f t="shared" si="0"/>
        <v>0</v>
      </c>
      <c r="L6" s="219"/>
    </row>
    <row r="7" spans="1:16" s="211" customFormat="1" ht="21.95" customHeight="1">
      <c r="A7" s="217">
        <f>'Méret Arany J'!A11</f>
        <v>4</v>
      </c>
      <c r="B7" s="218" t="str">
        <f>'Méret Arany J'!B22</f>
        <v>idomított terméskő burkolat rakása</v>
      </c>
      <c r="C7" s="221">
        <f>'Méret Arany J'!G22</f>
        <v>23</v>
      </c>
      <c r="D7" s="76" t="str">
        <f>'Méret Arany J'!H22</f>
        <v>m2</v>
      </c>
      <c r="E7" s="223"/>
      <c r="F7" s="41" t="s">
        <v>52</v>
      </c>
      <c r="G7" s="49" t="str">
        <f t="shared" si="1"/>
        <v>m2</v>
      </c>
      <c r="H7" s="42">
        <f t="shared" si="0"/>
        <v>0</v>
      </c>
      <c r="L7" s="219"/>
    </row>
    <row r="8" spans="1:16" s="211" customFormat="1" ht="21.95" customHeight="1">
      <c r="A8" s="217">
        <f>'Méret Arany J'!A12</f>
        <v>5</v>
      </c>
      <c r="B8" s="218" t="str">
        <f>'Méret Arany J'!B23</f>
        <v>lángolt bazaltlap fektetése</v>
      </c>
      <c r="C8" s="221">
        <f>'Méret Arany J'!G23</f>
        <v>1629</v>
      </c>
      <c r="D8" s="76" t="str">
        <f>'Méret Arany J'!H23</f>
        <v>m2</v>
      </c>
      <c r="E8" s="223"/>
      <c r="F8" s="41" t="s">
        <v>52</v>
      </c>
      <c r="G8" s="49" t="str">
        <f t="shared" si="1"/>
        <v>m2</v>
      </c>
      <c r="H8" s="42">
        <f t="shared" si="0"/>
        <v>0</v>
      </c>
      <c r="L8" s="219"/>
    </row>
    <row r="9" spans="1:16" s="211" customFormat="1" ht="22.5" customHeight="1">
      <c r="A9" s="217">
        <f>'Méret Arany J'!A15</f>
        <v>8</v>
      </c>
      <c r="B9" s="218" t="str">
        <f>'Méret Arany J'!B51</f>
        <v>mészkő lécső felújítása</v>
      </c>
      <c r="C9" s="221">
        <f>'Méret Arany J'!G51</f>
        <v>125.19999999999999</v>
      </c>
      <c r="D9" s="76" t="str">
        <f>'Méret Arany J'!H51</f>
        <v>fm</v>
      </c>
      <c r="E9" s="223"/>
      <c r="F9" s="41" t="s">
        <v>52</v>
      </c>
      <c r="G9" s="49" t="str">
        <f t="shared" si="1"/>
        <v>fm</v>
      </c>
      <c r="H9" s="42">
        <f t="shared" si="0"/>
        <v>0</v>
      </c>
    </row>
    <row r="10" spans="1:16" s="211" customFormat="1" ht="21.95" customHeight="1">
      <c r="A10" s="217">
        <f>'Méret Arany J'!A16</f>
        <v>9</v>
      </c>
      <c r="B10" s="218" t="str">
        <f>'Méret Arany J'!B43</f>
        <v>résfolyóka fektetés</v>
      </c>
      <c r="C10" s="221">
        <f>'Méret Arany J'!G43</f>
        <v>144.4</v>
      </c>
      <c r="D10" s="76" t="str">
        <f>'Méret Arany J'!H43</f>
        <v>fm</v>
      </c>
      <c r="E10" s="223"/>
      <c r="F10" s="41" t="s">
        <v>52</v>
      </c>
      <c r="G10" s="49" t="str">
        <f t="shared" si="1"/>
        <v>fm</v>
      </c>
      <c r="H10" s="42">
        <f t="shared" si="0"/>
        <v>0</v>
      </c>
    </row>
    <row r="11" spans="1:16" s="211" customFormat="1" ht="21.95" customHeight="1">
      <c r="A11" s="217">
        <f>'Méret Arany J'!A18</f>
        <v>11</v>
      </c>
      <c r="B11" s="218" t="str">
        <f>'Méret Arany J'!B44</f>
        <v>terjeszkedési hézag építése épülethez, falhoz</v>
      </c>
      <c r="C11" s="221">
        <f>'Méret Arany J'!G44</f>
        <v>586</v>
      </c>
      <c r="D11" s="76" t="str">
        <f>'Méret Arany J'!H44</f>
        <v>fm</v>
      </c>
      <c r="E11" s="223"/>
      <c r="F11" s="41" t="s">
        <v>52</v>
      </c>
      <c r="G11" s="49" t="str">
        <f t="shared" si="1"/>
        <v>fm</v>
      </c>
      <c r="H11" s="42">
        <f t="shared" si="0"/>
        <v>0</v>
      </c>
    </row>
    <row r="12" spans="1:16" s="211" customFormat="1" ht="21.95" customHeight="1">
      <c r="A12" s="217">
        <f>'Méret Arany J'!A20</f>
        <v>13</v>
      </c>
      <c r="B12" s="218" t="s">
        <v>131</v>
      </c>
      <c r="C12" s="221">
        <v>1</v>
      </c>
      <c r="D12" s="76" t="s">
        <v>66</v>
      </c>
      <c r="E12" s="223"/>
      <c r="F12" s="41" t="s">
        <v>52</v>
      </c>
      <c r="G12" s="49" t="str">
        <f>D12</f>
        <v>proj.</v>
      </c>
      <c r="H12" s="42">
        <f>E12*C12</f>
        <v>0</v>
      </c>
    </row>
    <row r="13" spans="1:16" s="13" customFormat="1" ht="21.95" customHeight="1">
      <c r="A13" s="38">
        <f>'Méret Arany J'!A21</f>
        <v>14</v>
      </c>
      <c r="B13" s="55"/>
      <c r="C13" s="76"/>
      <c r="D13" s="39" t="str">
        <f>'Méret Arany J'!H21</f>
        <v>m2</v>
      </c>
      <c r="E13" s="40"/>
      <c r="F13" s="41" t="s">
        <v>52</v>
      </c>
      <c r="G13" s="49" t="str">
        <f t="shared" si="1"/>
        <v>m2</v>
      </c>
      <c r="H13" s="42">
        <f t="shared" ref="H13:H15" si="2">E13*C13</f>
        <v>0</v>
      </c>
      <c r="I13" s="14"/>
      <c r="J13" s="14"/>
      <c r="K13" s="14"/>
      <c r="L13" s="14"/>
      <c r="M13" s="14"/>
      <c r="N13" s="14"/>
      <c r="O13" s="14"/>
      <c r="P13" s="14"/>
    </row>
    <row r="14" spans="1:16" s="14" customFormat="1" ht="21.95" customHeight="1">
      <c r="A14" s="38">
        <f>'Méret Arany J'!A22</f>
        <v>15</v>
      </c>
      <c r="B14" s="55"/>
      <c r="C14" s="76"/>
      <c r="D14" s="39" t="str">
        <f>'Méret Arany J'!H22</f>
        <v>m2</v>
      </c>
      <c r="E14" s="40"/>
      <c r="F14" s="41" t="s">
        <v>52</v>
      </c>
      <c r="G14" s="49" t="str">
        <f t="shared" si="1"/>
        <v>m2</v>
      </c>
      <c r="H14" s="42">
        <f t="shared" si="2"/>
        <v>0</v>
      </c>
      <c r="L14" s="37"/>
    </row>
    <row r="15" spans="1:16" s="14" customFormat="1" ht="21.95" customHeight="1">
      <c r="A15" s="38">
        <f>'Méret Arany J'!A23</f>
        <v>16</v>
      </c>
      <c r="B15" s="55"/>
      <c r="C15" s="76"/>
      <c r="D15" s="39" t="str">
        <f>'Méret Arany J'!H23</f>
        <v>m2</v>
      </c>
      <c r="E15" s="40"/>
      <c r="F15" s="41" t="s">
        <v>52</v>
      </c>
      <c r="G15" s="49" t="str">
        <f t="shared" si="1"/>
        <v>m2</v>
      </c>
      <c r="H15" s="42">
        <f t="shared" si="2"/>
        <v>0</v>
      </c>
      <c r="L15" s="43"/>
    </row>
    <row r="16" spans="1:16" s="13" customFormat="1" ht="22.5" customHeight="1">
      <c r="A16" s="38">
        <f>'Méret Arany J'!A29</f>
        <v>22</v>
      </c>
      <c r="B16" s="55"/>
      <c r="C16" s="76"/>
      <c r="D16" s="39">
        <f>'Méret Arany J'!H29</f>
        <v>0</v>
      </c>
      <c r="E16" s="40"/>
      <c r="F16" s="41" t="s">
        <v>52</v>
      </c>
      <c r="G16" s="49">
        <f t="shared" ref="G16" si="3">D16</f>
        <v>0</v>
      </c>
      <c r="H16" s="42">
        <f>E16*C16</f>
        <v>0</v>
      </c>
      <c r="I16" s="14"/>
      <c r="J16" s="14"/>
      <c r="K16" s="14"/>
      <c r="L16" s="14"/>
      <c r="M16" s="14"/>
      <c r="N16" s="14"/>
      <c r="O16" s="14"/>
      <c r="P16" s="14"/>
    </row>
    <row r="17" spans="1:16" s="13" customFormat="1" ht="21.95" customHeight="1">
      <c r="A17" s="38">
        <f>'Méret Arany J'!A30</f>
        <v>23</v>
      </c>
      <c r="B17" s="55"/>
      <c r="C17" s="76"/>
      <c r="D17" s="39" t="str">
        <f>'Méret Arany J'!H30</f>
        <v>db</v>
      </c>
      <c r="E17" s="40"/>
      <c r="F17" s="41" t="s">
        <v>52</v>
      </c>
      <c r="G17" s="49" t="str">
        <f t="shared" ref="G17:G27" si="4">D17</f>
        <v>db</v>
      </c>
      <c r="H17" s="42">
        <f t="shared" ref="H17:H27" si="5">E17*C17</f>
        <v>0</v>
      </c>
      <c r="I17" s="14"/>
      <c r="J17" s="14"/>
      <c r="K17" s="14"/>
      <c r="L17" s="14"/>
      <c r="M17" s="14"/>
      <c r="N17" s="14"/>
      <c r="O17" s="14"/>
      <c r="P17" s="14"/>
    </row>
    <row r="18" spans="1:16" s="13" customFormat="1" ht="21.95" customHeight="1">
      <c r="A18" s="38">
        <f>'Méret Arany J'!A32</f>
        <v>25</v>
      </c>
      <c r="B18" s="55"/>
      <c r="C18" s="76"/>
      <c r="D18" s="39" t="str">
        <f>'Méret Arany J'!H32</f>
        <v>db</v>
      </c>
      <c r="E18" s="40"/>
      <c r="F18" s="41" t="s">
        <v>52</v>
      </c>
      <c r="G18" s="49" t="str">
        <f t="shared" si="4"/>
        <v>db</v>
      </c>
      <c r="H18" s="42">
        <f t="shared" si="5"/>
        <v>0</v>
      </c>
      <c r="I18" s="14"/>
      <c r="J18" s="14"/>
      <c r="K18" s="14"/>
      <c r="L18" s="14"/>
      <c r="M18" s="14"/>
      <c r="N18" s="14"/>
      <c r="O18" s="14"/>
      <c r="P18" s="14"/>
    </row>
    <row r="19" spans="1:16" s="13" customFormat="1" ht="21.95" customHeight="1">
      <c r="A19" s="38">
        <f>'Méret Arany J'!A33</f>
        <v>26</v>
      </c>
      <c r="B19" s="55"/>
      <c r="C19" s="76"/>
      <c r="D19" s="39" t="str">
        <f>'Méret Arany J'!H33</f>
        <v>db</v>
      </c>
      <c r="E19" s="40"/>
      <c r="F19" s="41" t="s">
        <v>52</v>
      </c>
      <c r="G19" s="49" t="str">
        <f t="shared" si="4"/>
        <v>db</v>
      </c>
      <c r="H19" s="42">
        <f t="shared" si="5"/>
        <v>0</v>
      </c>
      <c r="I19" s="14"/>
      <c r="J19" s="14"/>
      <c r="K19" s="14"/>
      <c r="L19" s="14"/>
      <c r="M19" s="14"/>
      <c r="N19" s="14"/>
      <c r="O19" s="14"/>
      <c r="P19" s="14"/>
    </row>
    <row r="20" spans="1:16" s="14" customFormat="1" ht="21.95" customHeight="1">
      <c r="A20" s="38">
        <f>'Méret Arany J'!A34</f>
        <v>27</v>
      </c>
      <c r="B20" s="55"/>
      <c r="C20" s="76"/>
      <c r="D20" s="39" t="str">
        <f>'Méret Arany J'!H34</f>
        <v>db</v>
      </c>
      <c r="E20" s="40"/>
      <c r="F20" s="41" t="s">
        <v>52</v>
      </c>
      <c r="G20" s="49" t="str">
        <f t="shared" si="4"/>
        <v>db</v>
      </c>
      <c r="H20" s="42">
        <f t="shared" si="5"/>
        <v>0</v>
      </c>
      <c r="L20" s="37"/>
    </row>
    <row r="21" spans="1:16" s="14" customFormat="1" ht="21.95" customHeight="1">
      <c r="A21" s="38">
        <f>'Méret Arany J'!A36</f>
        <v>29</v>
      </c>
      <c r="B21" s="55"/>
      <c r="C21" s="76"/>
      <c r="D21" s="39" t="str">
        <f>'Méret Arany J'!H36</f>
        <v>db</v>
      </c>
      <c r="E21" s="40"/>
      <c r="F21" s="41" t="s">
        <v>52</v>
      </c>
      <c r="G21" s="49" t="str">
        <f t="shared" si="4"/>
        <v>db</v>
      </c>
      <c r="H21" s="42">
        <f t="shared" si="5"/>
        <v>0</v>
      </c>
      <c r="L21" s="43"/>
    </row>
    <row r="22" spans="1:16" s="14" customFormat="1" ht="21.95" customHeight="1">
      <c r="A22" s="38">
        <f>'Méret Arany J'!A38</f>
        <v>31</v>
      </c>
      <c r="B22" s="55"/>
      <c r="C22" s="76"/>
      <c r="D22" s="39" t="str">
        <f>'Méret Arany J'!H38</f>
        <v>db</v>
      </c>
      <c r="E22" s="40"/>
      <c r="F22" s="41" t="s">
        <v>52</v>
      </c>
      <c r="G22" s="49" t="str">
        <f t="shared" si="4"/>
        <v>db</v>
      </c>
      <c r="H22" s="42">
        <f t="shared" si="5"/>
        <v>0</v>
      </c>
      <c r="L22" s="43"/>
    </row>
    <row r="23" spans="1:16" s="13" customFormat="1" ht="22.5" customHeight="1">
      <c r="A23" s="38">
        <f>'Méret Arany J'!A39</f>
        <v>32</v>
      </c>
      <c r="B23" s="55"/>
      <c r="C23" s="76"/>
      <c r="D23" s="39" t="str">
        <f>'Méret Arany J'!H39</f>
        <v>db</v>
      </c>
      <c r="E23" s="40"/>
      <c r="F23" s="41" t="s">
        <v>52</v>
      </c>
      <c r="G23" s="49" t="str">
        <f t="shared" si="4"/>
        <v>db</v>
      </c>
      <c r="H23" s="42">
        <f t="shared" si="5"/>
        <v>0</v>
      </c>
      <c r="I23" s="14"/>
      <c r="J23" s="14"/>
      <c r="K23" s="14"/>
      <c r="L23" s="14"/>
      <c r="M23" s="14"/>
      <c r="N23" s="14"/>
      <c r="O23" s="14"/>
      <c r="P23" s="14"/>
    </row>
    <row r="24" spans="1:16" s="13" customFormat="1" ht="22.5" customHeight="1">
      <c r="A24" s="38">
        <f>'Méret Arany J'!A40</f>
        <v>33</v>
      </c>
      <c r="B24" s="55"/>
      <c r="C24" s="76"/>
      <c r="D24" s="39" t="str">
        <f>'Méret Arany J'!H40</f>
        <v>db</v>
      </c>
      <c r="E24" s="40"/>
      <c r="F24" s="41" t="s">
        <v>52</v>
      </c>
      <c r="G24" s="49" t="str">
        <f t="shared" si="4"/>
        <v>db</v>
      </c>
      <c r="H24" s="42">
        <f t="shared" si="5"/>
        <v>0</v>
      </c>
      <c r="I24" s="14"/>
      <c r="J24" s="14"/>
      <c r="K24" s="14"/>
      <c r="L24" s="14"/>
      <c r="M24" s="14"/>
      <c r="N24" s="14"/>
      <c r="O24" s="14"/>
      <c r="P24" s="14"/>
    </row>
    <row r="25" spans="1:16" s="13" customFormat="1" ht="21.95" customHeight="1">
      <c r="A25" s="38">
        <f>'Méret Arany J'!A41</f>
        <v>34</v>
      </c>
      <c r="B25" s="55"/>
      <c r="C25" s="76"/>
      <c r="D25" s="39" t="str">
        <f>'Méret Arany J'!H41</f>
        <v>db</v>
      </c>
      <c r="E25" s="40"/>
      <c r="F25" s="41" t="s">
        <v>52</v>
      </c>
      <c r="G25" s="49" t="str">
        <f t="shared" si="4"/>
        <v>db</v>
      </c>
      <c r="H25" s="42">
        <f t="shared" si="5"/>
        <v>0</v>
      </c>
      <c r="I25" s="14"/>
      <c r="J25" s="14"/>
      <c r="K25" s="14"/>
      <c r="L25" s="14"/>
      <c r="M25" s="14"/>
      <c r="N25" s="14"/>
      <c r="O25" s="14"/>
      <c r="P25" s="14"/>
    </row>
    <row r="26" spans="1:16" s="13" customFormat="1" ht="21.95" customHeight="1">
      <c r="A26" s="38">
        <f>'Méret Arany J'!A42</f>
        <v>35</v>
      </c>
      <c r="B26" s="55"/>
      <c r="C26" s="76"/>
      <c r="D26" s="39" t="str">
        <f>'Méret Arany J'!H42</f>
        <v>db</v>
      </c>
      <c r="E26" s="40"/>
      <c r="F26" s="41" t="s">
        <v>52</v>
      </c>
      <c r="G26" s="49" t="str">
        <f t="shared" si="4"/>
        <v>db</v>
      </c>
      <c r="H26" s="42">
        <f t="shared" si="5"/>
        <v>0</v>
      </c>
      <c r="I26" s="14"/>
      <c r="J26" s="14"/>
      <c r="K26" s="14"/>
      <c r="L26" s="14"/>
      <c r="M26" s="14"/>
      <c r="N26" s="14"/>
      <c r="O26" s="14"/>
      <c r="P26" s="14"/>
    </row>
    <row r="27" spans="1:16" s="13" customFormat="1" ht="21.95" customHeight="1">
      <c r="A27" s="38">
        <f>'Méret Arany J'!A43</f>
        <v>36</v>
      </c>
      <c r="B27" s="55"/>
      <c r="C27" s="76"/>
      <c r="D27" s="39" t="str">
        <f>'Méret Arany J'!H43</f>
        <v>fm</v>
      </c>
      <c r="E27" s="40"/>
      <c r="F27" s="41" t="s">
        <v>52</v>
      </c>
      <c r="G27" s="49" t="str">
        <f t="shared" si="4"/>
        <v>fm</v>
      </c>
      <c r="H27" s="42">
        <f t="shared" si="5"/>
        <v>0</v>
      </c>
      <c r="I27" s="14"/>
      <c r="J27" s="14"/>
      <c r="K27" s="14"/>
      <c r="L27" s="14"/>
      <c r="M27" s="14"/>
      <c r="N27" s="14"/>
      <c r="O27" s="14"/>
      <c r="P27" s="14"/>
    </row>
    <row r="28" spans="1:16" s="13" customFormat="1" ht="7.5" customHeight="1" thickBot="1">
      <c r="A28" s="50"/>
      <c r="B28" s="51"/>
      <c r="C28" s="77"/>
      <c r="D28" s="52"/>
      <c r="E28" s="53"/>
      <c r="F28" s="53"/>
      <c r="G28" s="53"/>
      <c r="H28" s="53"/>
      <c r="I28" s="56"/>
      <c r="J28" s="14"/>
      <c r="K28" s="14"/>
      <c r="L28" s="14"/>
      <c r="M28" s="14"/>
      <c r="N28" s="14"/>
      <c r="O28" s="14"/>
      <c r="P28" s="14"/>
    </row>
    <row r="29" spans="1:16" ht="19.5">
      <c r="A29" s="44"/>
      <c r="B29" s="44"/>
      <c r="C29" s="78"/>
      <c r="D29" s="310" t="s">
        <v>51</v>
      </c>
      <c r="E29" s="311"/>
      <c r="F29" s="311"/>
      <c r="G29" s="312"/>
      <c r="H29" s="45">
        <f>SUM(H4:H27)</f>
        <v>0</v>
      </c>
      <c r="L29" s="31"/>
    </row>
    <row r="30" spans="1:16" ht="19.5">
      <c r="A30" s="44"/>
      <c r="B30" s="44"/>
      <c r="C30" s="78"/>
      <c r="D30" s="299" t="s">
        <v>128</v>
      </c>
      <c r="E30" s="300"/>
      <c r="F30" s="300"/>
      <c r="G30" s="301"/>
      <c r="H30" s="46">
        <f>H29*0.27</f>
        <v>0</v>
      </c>
      <c r="L30" s="31"/>
    </row>
    <row r="31" spans="1:16" ht="27" customHeight="1" thickBot="1">
      <c r="A31" s="44"/>
      <c r="B31" s="44"/>
      <c r="C31" s="78"/>
      <c r="D31" s="302" t="s">
        <v>55</v>
      </c>
      <c r="E31" s="303"/>
      <c r="F31" s="303"/>
      <c r="G31" s="304"/>
      <c r="H31" s="47">
        <f>H29*1.2</f>
        <v>0</v>
      </c>
      <c r="L31" s="31"/>
    </row>
  </sheetData>
  <sheetProtection password="D74F" sheet="1" objects="1" scenarios="1"/>
  <mergeCells count="6">
    <mergeCell ref="D30:G30"/>
    <mergeCell ref="D31:G31"/>
    <mergeCell ref="A1:H1"/>
    <mergeCell ref="E3:G3"/>
    <mergeCell ref="B2:H2"/>
    <mergeCell ref="D29:G29"/>
  </mergeCells>
  <phoneticPr fontId="0" type="noConversion"/>
  <printOptions horizontalCentered="1"/>
  <pageMargins left="0.74803149606299213" right="0.78740157480314965" top="0.78740157480314965" bottom="0.55118110236220474" header="0.51181102362204722" footer="0.35433070866141736"/>
  <pageSetup paperSize="9" scale="77" orientation="portrait" r:id="rId1"/>
  <headerFooter alignWithMargins="0">
    <oddHeader>&amp;LSzékesfehérvár
Arany János u. burkolatfelújítása (t.sz:989)&amp;RTervező: Közlekedésfejlesztés Kft.</oddHeader>
    <oddFooter>&amp;R&amp;P oldal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view="pageBreakPreview" zoomScale="80" zoomScaleNormal="100" workbookViewId="0">
      <selection activeCell="E10" sqref="E10"/>
    </sheetView>
  </sheetViews>
  <sheetFormatPr defaultRowHeight="12.75"/>
  <cols>
    <col min="1" max="1" width="3.85546875" style="17" customWidth="1"/>
    <col min="2" max="2" width="36.85546875" style="17" customWidth="1"/>
    <col min="3" max="3" width="16.85546875" style="72" customWidth="1"/>
    <col min="4" max="4" width="14.5703125" style="72" customWidth="1"/>
    <col min="5" max="5" width="21" style="72" customWidth="1"/>
    <col min="6" max="6" width="2.28515625" style="17" customWidth="1"/>
    <col min="7" max="16384" width="9.140625" style="17"/>
  </cols>
  <sheetData>
    <row r="1" spans="1:7" ht="42.75" customHeight="1" thickTop="1" thickBot="1">
      <c r="A1" s="15"/>
      <c r="B1" s="313" t="s">
        <v>39</v>
      </c>
      <c r="C1" s="313"/>
      <c r="D1" s="313"/>
      <c r="E1" s="313"/>
      <c r="F1" s="16"/>
    </row>
    <row r="2" spans="1:7" ht="56.25" customHeight="1" thickBot="1">
      <c r="A2" s="18"/>
      <c r="B2" s="314" t="str">
        <f>'Méret Arany J'!A3</f>
        <v>Székesfehérvár
Arany János utca és a kapcsolódó terei burkolatfelújítása
Kiviteli tervéhez</v>
      </c>
      <c r="C2" s="315"/>
      <c r="D2" s="315"/>
      <c r="E2" s="316"/>
      <c r="F2" s="19"/>
    </row>
    <row r="3" spans="1:7" ht="44.25" customHeight="1">
      <c r="A3" s="18"/>
      <c r="B3" s="3" t="s">
        <v>21</v>
      </c>
      <c r="C3" s="60" t="s">
        <v>32</v>
      </c>
      <c r="D3" s="60" t="s">
        <v>33</v>
      </c>
      <c r="E3" s="61" t="s">
        <v>34</v>
      </c>
      <c r="F3" s="19"/>
    </row>
    <row r="4" spans="1:7" ht="41.25" customHeight="1">
      <c r="A4" s="18"/>
      <c r="B4" s="7" t="s">
        <v>30</v>
      </c>
      <c r="C4" s="62">
        <f>'Arany J'!J43</f>
        <v>0</v>
      </c>
      <c r="D4" s="62">
        <f>'Arany J'!L43</f>
        <v>0</v>
      </c>
      <c r="E4" s="62">
        <f>C4+D4</f>
        <v>0</v>
      </c>
      <c r="F4" s="19"/>
    </row>
    <row r="5" spans="1:7" ht="30.75" customHeight="1">
      <c r="A5" s="18"/>
      <c r="B5" s="8" t="s">
        <v>14</v>
      </c>
      <c r="C5" s="62">
        <f>'Arany J'!J98</f>
        <v>0</v>
      </c>
      <c r="D5" s="62">
        <f>'Arany J'!L98</f>
        <v>0</v>
      </c>
      <c r="E5" s="62">
        <f>C5+D5</f>
        <v>0</v>
      </c>
      <c r="F5" s="19"/>
    </row>
    <row r="6" spans="1:7" ht="30.75" customHeight="1">
      <c r="A6" s="18"/>
      <c r="B6" s="7" t="s">
        <v>27</v>
      </c>
      <c r="C6" s="62">
        <f>'Arany J'!J148</f>
        <v>0</v>
      </c>
      <c r="D6" s="62">
        <f>'Arany J'!L148</f>
        <v>0</v>
      </c>
      <c r="E6" s="62">
        <f>C6+D6</f>
        <v>0</v>
      </c>
      <c r="F6" s="19"/>
    </row>
    <row r="7" spans="1:7" ht="30.75" customHeight="1">
      <c r="A7" s="18"/>
      <c r="B7" s="7" t="s">
        <v>19</v>
      </c>
      <c r="C7" s="62">
        <f>'Arany J'!J292</f>
        <v>0</v>
      </c>
      <c r="D7" s="62">
        <f>'Arany J'!L292</f>
        <v>0</v>
      </c>
      <c r="E7" s="62">
        <f>C7+D7</f>
        <v>0</v>
      </c>
      <c r="F7" s="19"/>
    </row>
    <row r="8" spans="1:7" ht="30.75" customHeight="1">
      <c r="A8" s="18"/>
      <c r="B8" s="7" t="s">
        <v>20</v>
      </c>
      <c r="C8" s="62">
        <f>'Arany J'!J341</f>
        <v>0</v>
      </c>
      <c r="D8" s="62">
        <f>'Arany J'!L341</f>
        <v>0</v>
      </c>
      <c r="E8" s="62">
        <f>C8+D8</f>
        <v>0</v>
      </c>
      <c r="F8" s="20"/>
    </row>
    <row r="9" spans="1:7" s="23" customFormat="1" ht="30.75" customHeight="1">
      <c r="A9" s="21"/>
      <c r="B9" s="11" t="s">
        <v>22</v>
      </c>
      <c r="C9" s="63">
        <f>INT(((C4+C5+C6+C7+C8)/100)+0.5)*100</f>
        <v>0</v>
      </c>
      <c r="D9" s="63">
        <f>INT(((D4+D5+D6+D7+D8)/100)+0.5)*100</f>
        <v>0</v>
      </c>
      <c r="E9" s="64">
        <f>SUM(E4:E8)</f>
        <v>0</v>
      </c>
      <c r="F9" s="22"/>
    </row>
    <row r="10" spans="1:7" s="23" customFormat="1" ht="30" customHeight="1">
      <c r="A10" s="21"/>
      <c r="B10" s="9" t="s">
        <v>40</v>
      </c>
      <c r="C10" s="65"/>
      <c r="D10" s="85">
        <v>0.05</v>
      </c>
      <c r="E10" s="65">
        <f>E9*D10</f>
        <v>0</v>
      </c>
      <c r="F10" s="22"/>
    </row>
    <row r="11" spans="1:7" s="23" customFormat="1" ht="30" customHeight="1">
      <c r="A11" s="21"/>
      <c r="B11" s="10" t="s">
        <v>23</v>
      </c>
      <c r="C11" s="65"/>
      <c r="D11" s="65"/>
      <c r="E11" s="66">
        <f>SUM(E9:E10)</f>
        <v>0</v>
      </c>
      <c r="F11" s="22"/>
    </row>
    <row r="12" spans="1:7" s="23" customFormat="1" ht="30" customHeight="1" thickBot="1">
      <c r="A12" s="21"/>
      <c r="B12" s="9" t="s">
        <v>109</v>
      </c>
      <c r="C12" s="65"/>
      <c r="D12" s="84">
        <v>0.27</v>
      </c>
      <c r="E12" s="65">
        <f>E11*D12</f>
        <v>0</v>
      </c>
      <c r="F12" s="22"/>
    </row>
    <row r="13" spans="1:7" ht="24" customHeight="1" thickBot="1">
      <c r="A13" s="18"/>
      <c r="B13" s="5" t="s">
        <v>24</v>
      </c>
      <c r="C13" s="67"/>
      <c r="D13" s="67"/>
      <c r="E13" s="68">
        <f>E11+E12</f>
        <v>0</v>
      </c>
      <c r="F13" s="19"/>
      <c r="G13" s="26"/>
    </row>
    <row r="14" spans="1:7" ht="22.5" customHeight="1">
      <c r="A14" s="18"/>
      <c r="B14" s="4">
        <v>2017</v>
      </c>
      <c r="C14" s="69"/>
      <c r="D14" s="69"/>
      <c r="E14" s="70"/>
      <c r="F14" s="19"/>
    </row>
    <row r="15" spans="1:7" ht="13.5" thickBot="1">
      <c r="A15" s="24"/>
      <c r="B15" s="6"/>
      <c r="C15" s="71"/>
      <c r="D15" s="71"/>
      <c r="E15" s="71"/>
      <c r="F15" s="25"/>
    </row>
    <row r="16" spans="1:7" ht="13.5" thickTop="1"/>
    <row r="17" spans="5:5">
      <c r="E17" s="73"/>
    </row>
  </sheetData>
  <sheetProtection password="D74F" sheet="1" objects="1" scenarios="1"/>
  <mergeCells count="2">
    <mergeCell ref="B1:E1"/>
    <mergeCell ref="B2:E2"/>
  </mergeCells>
  <phoneticPr fontId="2" type="noConversion"/>
  <printOptions horizontalCentered="1"/>
  <pageMargins left="0.55118110236220474" right="0.35433070866141736" top="0.86614173228346458" bottom="0.59055118110236227" header="0.31496062992125984" footer="0.51181102362204722"/>
  <pageSetup paperSize="9" orientation="portrait" r:id="rId1"/>
  <headerFooter alignWithMargins="0">
    <oddHeader>&amp;L989&amp;CKöltségvetési kiírás
&amp;RKözlekedésfejlesztés Kft.</oddHeader>
  </headerFooter>
  <rowBreaks count="1" manualBreakCount="1">
    <brk id="1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5</vt:i4>
      </vt:variant>
    </vt:vector>
  </HeadingPairs>
  <TitlesOfParts>
    <vt:vector size="10" baseType="lpstr">
      <vt:lpstr>Előlap</vt:lpstr>
      <vt:lpstr>Méret Arany J</vt:lpstr>
      <vt:lpstr>Arany J</vt:lpstr>
      <vt:lpstr>KÖLTSÉGBECSLÉS Arany J</vt:lpstr>
      <vt:lpstr>Fõ Arany J</vt:lpstr>
      <vt:lpstr>'Arany J'!Nyomtatási_cím</vt:lpstr>
      <vt:lpstr>'Arany J'!Nyomtatási_terület</vt:lpstr>
      <vt:lpstr>'Fõ Arany J'!Nyomtatási_terület</vt:lpstr>
      <vt:lpstr>'KÖLTSÉGBECSLÉS Arany J'!Nyomtatási_terület</vt:lpstr>
      <vt:lpstr>'Méret Arany J'!Nyomtatási_terület</vt:lpstr>
    </vt:vector>
  </TitlesOfParts>
  <Company>Mérnökiroda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Közlekedésfejlesztés</dc:creator>
  <cp:lastModifiedBy>Windows-felhasználó</cp:lastModifiedBy>
  <cp:lastPrinted>2017-06-21T08:09:32Z</cp:lastPrinted>
  <dcterms:created xsi:type="dcterms:W3CDTF">2002-04-17T08:08:59Z</dcterms:created>
  <dcterms:modified xsi:type="dcterms:W3CDTF">2017-08-04T07:08:09Z</dcterms:modified>
</cp:coreProperties>
</file>